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workspace.mazars.nl/team/Flex/Gedeelde  documenten/Vaktechniek/Werkhervattingskas/Rekentool Whk/"/>
    </mc:Choice>
  </mc:AlternateContent>
  <xr:revisionPtr revIDLastSave="0" documentId="8_{AFD5653E-2EC0-44A9-8A84-827E90BF03C3}" xr6:coauthVersionLast="47" xr6:coauthVersionMax="47" xr10:uidLastSave="{00000000-0000-0000-0000-000000000000}"/>
  <workbookProtection workbookAlgorithmName="SHA-512" workbookHashValue="/M2KKlZpZMuTQoJqx6Td2hdZvbV6RjmbuS/Q8TuTq1ZzUUcmXqSc7PJpTsCe7P4CFCQzpIFTrp1bb0R3CAwUyg==" workbookSaltValue="wMzy78IuWmaI3MSI1M0JGQ==" workbookSpinCount="100000" lockStructure="1"/>
  <bookViews>
    <workbookView xWindow="28690" yWindow="-110" windowWidth="29020" windowHeight="15820" activeTab="2" xr2:uid="{00000000-000D-0000-FFFF-FFFF00000000}"/>
  </bookViews>
  <sheets>
    <sheet name="Uitleg" sheetId="1" r:id="rId1"/>
    <sheet name="Invulformulier" sheetId="2" r:id="rId2"/>
    <sheet name="Premies 2021 en 2022" sheetId="3" r:id="rId3"/>
    <sheet name="Formules" sheetId="4" state="hidden" r:id="rId4"/>
    <sheet name="Premies en parameters" sheetId="5" state="hidden" r:id="rId5"/>
    <sheet name="Hulpsheet" sheetId="6" state="hidden" r:id="rId6"/>
  </sheets>
  <definedNames>
    <definedName name="_xlnm.Print_Area" localSheetId="3">Formules!$A$1:$F$68</definedName>
    <definedName name="_xlnm.Print_Area" localSheetId="1">Invulformulier!$A$1:$I$47</definedName>
    <definedName name="_xlnm.Print_Area" localSheetId="2">'Premies 2021 en 2022'!$A$1:$F$62</definedName>
    <definedName name="_xlnm.Print_Area" localSheetId="4">'Premies en parameters'!$A$1:$H$52</definedName>
    <definedName name="_xlnm.Print_Area" localSheetId="0">Uitleg!$A$1:$C$23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4" l="1"/>
  <c r="C54" i="4"/>
  <c r="D28" i="3" l="1"/>
  <c r="D29" i="3"/>
  <c r="E47" i="5"/>
  <c r="E48" i="5"/>
  <c r="C22" i="6"/>
  <c r="C23" i="6"/>
  <c r="C24" i="6"/>
  <c r="C25" i="6"/>
  <c r="C26" i="6"/>
  <c r="C27" i="6"/>
  <c r="F5" i="4" l="1"/>
  <c r="F3" i="4"/>
  <c r="F6" i="4"/>
  <c r="F4" i="4"/>
  <c r="H17" i="6" l="1"/>
  <c r="D27" i="6"/>
  <c r="C6" i="3" l="1"/>
  <c r="D26" i="6" l="1"/>
  <c r="A2" i="3" l="1"/>
  <c r="A21" i="3" l="1"/>
  <c r="G29" i="2" l="1"/>
  <c r="G18" i="2" l="1"/>
  <c r="C35" i="4" s="1"/>
  <c r="D25" i="6"/>
  <c r="C42" i="4" l="1"/>
  <c r="E38" i="4" s="1"/>
  <c r="C41" i="4"/>
  <c r="C37" i="4" s="1"/>
  <c r="C30" i="4"/>
  <c r="C8" i="3"/>
  <c r="A4" i="4"/>
  <c r="A5" i="4"/>
  <c r="B7" i="3" l="1"/>
  <c r="A47" i="4"/>
  <c r="A23" i="4"/>
  <c r="E5" i="5"/>
  <c r="A43" i="3"/>
  <c r="B14" i="3"/>
  <c r="B11" i="3"/>
  <c r="B10" i="3"/>
  <c r="B9" i="3"/>
  <c r="D24" i="6"/>
  <c r="D23" i="6"/>
  <c r="D22" i="6"/>
  <c r="F3" i="6"/>
  <c r="F4" i="6" s="1"/>
  <c r="F5" i="6" s="1"/>
  <c r="F6" i="6" s="1"/>
  <c r="F7" i="6" s="1"/>
  <c r="F8" i="6" l="1"/>
  <c r="F9" i="6" s="1"/>
  <c r="F10" i="6" s="1"/>
  <c r="F11" i="6" s="1"/>
  <c r="F12" i="6" s="1"/>
  <c r="F13" i="6" s="1"/>
  <c r="E42" i="5"/>
  <c r="D5" i="5"/>
  <c r="D42" i="5" s="1"/>
  <c r="E6" i="5"/>
  <c r="E7" i="5"/>
  <c r="C59" i="4"/>
  <c r="C67" i="4"/>
  <c r="G17" i="2"/>
  <c r="C44" i="4"/>
  <c r="C25" i="4"/>
  <c r="E8" i="5"/>
  <c r="C64" i="4" l="1"/>
  <c r="C61" i="4" s="1"/>
  <c r="B58" i="3"/>
  <c r="D7" i="5"/>
  <c r="C65" i="4"/>
  <c r="D8" i="5"/>
  <c r="D6" i="5"/>
  <c r="E62" i="4" l="1"/>
  <c r="E3" i="6"/>
  <c r="B31" i="2"/>
  <c r="B39" i="2"/>
  <c r="B35" i="2"/>
  <c r="B43" i="2"/>
  <c r="B24" i="2"/>
  <c r="B20" i="2"/>
  <c r="B18" i="2"/>
  <c r="B17" i="2"/>
  <c r="B10" i="2"/>
  <c r="B11" i="2" s="1"/>
  <c r="B12" i="2" s="1"/>
  <c r="B13" i="2" s="1"/>
  <c r="B14" i="2" s="1"/>
  <c r="B15" i="2" s="1"/>
  <c r="E4" i="6" l="1"/>
  <c r="A10" i="6"/>
  <c r="A11" i="6" s="1"/>
  <c r="E5" i="6" l="1"/>
  <c r="E6" i="6" l="1"/>
  <c r="A12" i="6"/>
  <c r="A13" i="6" s="1"/>
  <c r="A14" i="6" s="1"/>
  <c r="A15" i="6" s="1"/>
  <c r="A16" i="6" l="1"/>
  <c r="A17" i="6" s="1"/>
  <c r="A18" i="6" s="1"/>
  <c r="E7" i="6"/>
  <c r="A1" i="2"/>
  <c r="D26" i="5" l="1"/>
  <c r="E8" i="6"/>
  <c r="B17" i="3"/>
  <c r="C62" i="4" s="1"/>
  <c r="D37" i="5" l="1"/>
  <c r="D25" i="5"/>
  <c r="D31" i="5"/>
  <c r="D16" i="5"/>
  <c r="D15" i="5"/>
  <c r="D11" i="5"/>
  <c r="D34" i="5"/>
  <c r="D13" i="5"/>
  <c r="D28" i="5"/>
  <c r="D49" i="5"/>
  <c r="D51" i="3" s="1"/>
  <c r="D14" i="5"/>
  <c r="D44" i="5"/>
  <c r="D21" i="5"/>
  <c r="D27" i="5"/>
  <c r="D12" i="5"/>
  <c r="D36" i="5"/>
  <c r="D20" i="5"/>
  <c r="D50" i="5"/>
  <c r="D53" i="3" s="1"/>
  <c r="D19" i="5"/>
  <c r="D22" i="5"/>
  <c r="D35" i="5"/>
  <c r="D30" i="5"/>
  <c r="D29" i="5"/>
  <c r="E50" i="5"/>
  <c r="D32" i="3" s="1"/>
  <c r="E16" i="5"/>
  <c r="E9" i="6"/>
  <c r="E10" i="6" s="1"/>
  <c r="E11" i="6" s="1"/>
  <c r="E12" i="6" s="1"/>
  <c r="E13" i="6" s="1"/>
  <c r="E44" i="5" s="1"/>
  <c r="D24" i="3" s="1"/>
  <c r="E13" i="5"/>
  <c r="E20" i="5"/>
  <c r="E22" i="5"/>
  <c r="E11" i="5"/>
  <c r="E29" i="5" l="1"/>
  <c r="E21" i="5"/>
  <c r="E30" i="5"/>
  <c r="E15" i="5"/>
  <c r="E37" i="5"/>
  <c r="E35" i="5"/>
  <c r="E34" i="5"/>
  <c r="E12" i="5"/>
  <c r="E45" i="5"/>
  <c r="D47" i="3" s="1"/>
  <c r="E31" i="5"/>
  <c r="E27" i="5"/>
  <c r="C27" i="4"/>
  <c r="E28" i="5"/>
  <c r="E19" i="5"/>
  <c r="E49" i="5"/>
  <c r="D30" i="3" s="1"/>
  <c r="E36" i="5"/>
  <c r="C28" i="4"/>
  <c r="E26" i="5"/>
  <c r="D45" i="5"/>
  <c r="D46" i="5"/>
  <c r="D50" i="3" s="1"/>
  <c r="E25" i="5"/>
  <c r="C38" i="4"/>
  <c r="C33" i="4" s="1"/>
  <c r="E14" i="5"/>
  <c r="C32" i="4" l="1"/>
  <c r="D25" i="3"/>
  <c r="D46" i="3"/>
  <c r="C16" i="3"/>
  <c r="C15" i="3"/>
  <c r="C13" i="3"/>
  <c r="C12" i="3"/>
  <c r="C10" i="3"/>
  <c r="C9" i="3"/>
  <c r="C17" i="3" l="1"/>
  <c r="D36" i="3" l="1"/>
  <c r="D35" i="3"/>
  <c r="C51" i="4"/>
  <c r="C52" i="4"/>
  <c r="D34" i="3" l="1"/>
  <c r="C57" i="4"/>
  <c r="D57" i="3" s="1"/>
  <c r="C56" i="4"/>
  <c r="D56" i="3" s="1"/>
  <c r="D39" i="3" l="1"/>
  <c r="D40" i="3"/>
  <c r="D55" i="3"/>
  <c r="D60" i="3" s="1"/>
</calcChain>
</file>

<file path=xl/sharedStrings.xml><?xml version="1.0" encoding="utf-8"?>
<sst xmlns="http://schemas.openxmlformats.org/spreadsheetml/2006/main" count="871" uniqueCount="305">
  <si>
    <t>Overzicht premies en parameters</t>
  </si>
  <si>
    <t>Gemiddelde loonsom</t>
  </si>
  <si>
    <t>Grens middelgrote/grote werkgever</t>
  </si>
  <si>
    <t>Grens kleine/middelgrote werkgever</t>
  </si>
  <si>
    <t>WGA-vast</t>
  </si>
  <si>
    <t>Correctiefactoren bij onvolledige periode jaren werkgever</t>
  </si>
  <si>
    <t>Beschikbare periode:</t>
  </si>
  <si>
    <t>1 jaar</t>
  </si>
  <si>
    <t>2 jaren</t>
  </si>
  <si>
    <t>3 jaren</t>
  </si>
  <si>
    <t>4 jaren</t>
  </si>
  <si>
    <t>ZW</t>
  </si>
  <si>
    <t>2016</t>
  </si>
  <si>
    <t>Premies werknemersverzekeringen</t>
  </si>
  <si>
    <t>WW-premie</t>
  </si>
  <si>
    <t>WW-Awf</t>
  </si>
  <si>
    <t>Sectorfonds</t>
  </si>
  <si>
    <t>zie tabel</t>
  </si>
  <si>
    <t>Basispremie WIA/WGA (Aof)</t>
  </si>
  <si>
    <t>Kinderopvang</t>
  </si>
  <si>
    <t>Bijdrage ZVW</t>
  </si>
  <si>
    <t>Sector 1</t>
  </si>
  <si>
    <t>Agrarisch bedrijf</t>
  </si>
  <si>
    <t>Sector 2</t>
  </si>
  <si>
    <t>Tabakverwerkende industrie</t>
  </si>
  <si>
    <t>Sector 3</t>
  </si>
  <si>
    <t>Bouwbedrijf</t>
  </si>
  <si>
    <t>Sector 4</t>
  </si>
  <si>
    <t>Baggerbedrijf</t>
  </si>
  <si>
    <t>Sector 5</t>
  </si>
  <si>
    <t>Hout en emballage-industrie</t>
  </si>
  <si>
    <t>Sector 6</t>
  </si>
  <si>
    <t>Timmerindustrie</t>
  </si>
  <si>
    <t>Sector 7</t>
  </si>
  <si>
    <t>Meubel- en orgelbouwindustrie</t>
  </si>
  <si>
    <t>Sector 8</t>
  </si>
  <si>
    <t>Groothandel in hout</t>
  </si>
  <si>
    <t>Sector 9</t>
  </si>
  <si>
    <t>Grafische industrie</t>
  </si>
  <si>
    <t>Sector 10</t>
  </si>
  <si>
    <t>Metaalindustrie</t>
  </si>
  <si>
    <t>Sector 11</t>
  </si>
  <si>
    <t>Electrotechnische industrie</t>
  </si>
  <si>
    <t>Sector 12</t>
  </si>
  <si>
    <t>Metaal- en technische bedrijfstakken</t>
  </si>
  <si>
    <t>Sector 13</t>
  </si>
  <si>
    <t>Bakkerijen</t>
  </si>
  <si>
    <t>Sector 14</t>
  </si>
  <si>
    <t>Suikerverwerkende industrie</t>
  </si>
  <si>
    <t>Sector 15</t>
  </si>
  <si>
    <t>Slagersbedrijven</t>
  </si>
  <si>
    <t>Sector 16</t>
  </si>
  <si>
    <t>Slagers overig</t>
  </si>
  <si>
    <t>Sector 17</t>
  </si>
  <si>
    <t>Detailhandel en ambachten</t>
  </si>
  <si>
    <t>Sector 18</t>
  </si>
  <si>
    <t>Reiniging</t>
  </si>
  <si>
    <t>Sector 19</t>
  </si>
  <si>
    <t>Grootwinkelbedrijf</t>
  </si>
  <si>
    <t>Sector 20</t>
  </si>
  <si>
    <t>Havenbedrijven</t>
  </si>
  <si>
    <t>Sector 21</t>
  </si>
  <si>
    <t>Havenclassificeerders</t>
  </si>
  <si>
    <t>Sector 22</t>
  </si>
  <si>
    <t>Binnenscheepvaart</t>
  </si>
  <si>
    <t>Sector 23</t>
  </si>
  <si>
    <t>Visserij</t>
  </si>
  <si>
    <t>Sector 24</t>
  </si>
  <si>
    <t>Koopvaardij</t>
  </si>
  <si>
    <t>Sector 25</t>
  </si>
  <si>
    <t>Vervoer KLM</t>
  </si>
  <si>
    <t>Sector 26</t>
  </si>
  <si>
    <t>Vervoer NS</t>
  </si>
  <si>
    <t>Sector 27</t>
  </si>
  <si>
    <t>Vervoer Posterijen</t>
  </si>
  <si>
    <t>Sector 28</t>
  </si>
  <si>
    <t>Taxivervoer</t>
  </si>
  <si>
    <t>Sector 29</t>
  </si>
  <si>
    <t>Openbaar vervoer</t>
  </si>
  <si>
    <t>Sector 30</t>
  </si>
  <si>
    <t>Besloten busvervoer</t>
  </si>
  <si>
    <t>Sector 31</t>
  </si>
  <si>
    <t>Overig personenvervoer</t>
  </si>
  <si>
    <t>Sector 32</t>
  </si>
  <si>
    <t>Overig goederenvervoer</t>
  </si>
  <si>
    <t>Sector 33</t>
  </si>
  <si>
    <t>Horeca algemeen</t>
  </si>
  <si>
    <t>Sector 34</t>
  </si>
  <si>
    <t>Horeca catering</t>
  </si>
  <si>
    <t>Sector 35</t>
  </si>
  <si>
    <t>Gezondheid</t>
  </si>
  <si>
    <t>Sector 38</t>
  </si>
  <si>
    <t>Banken</t>
  </si>
  <si>
    <t>Sector 39</t>
  </si>
  <si>
    <t>Verzekeringswezen</t>
  </si>
  <si>
    <t>Sector 40</t>
  </si>
  <si>
    <t>Uitgeverij</t>
  </si>
  <si>
    <t>Sector 41</t>
  </si>
  <si>
    <t>Groothandel I</t>
  </si>
  <si>
    <t>Sector 42</t>
  </si>
  <si>
    <t>Groothandel II</t>
  </si>
  <si>
    <t>Sector 43</t>
  </si>
  <si>
    <t>Zakelijke Dienstverlening I</t>
  </si>
  <si>
    <t>Sector 44</t>
  </si>
  <si>
    <t>Zakelijke Dienstverlening II</t>
  </si>
  <si>
    <t>Sector 45</t>
  </si>
  <si>
    <t>Zakelijke Dienstverlening III</t>
  </si>
  <si>
    <t>Sector 46</t>
  </si>
  <si>
    <t>Zuivelindustrie</t>
  </si>
  <si>
    <t>Sector 47</t>
  </si>
  <si>
    <t>Textielindustrie</t>
  </si>
  <si>
    <t>Sector 48</t>
  </si>
  <si>
    <t>Steen-, cement-, glas- en keramische industrie</t>
  </si>
  <si>
    <t>Sector 49</t>
  </si>
  <si>
    <t>Chemische industrie</t>
  </si>
  <si>
    <t>Sector 50</t>
  </si>
  <si>
    <t>Voedingsindustrie</t>
  </si>
  <si>
    <t>Sector 51</t>
  </si>
  <si>
    <t>Algemene industrie</t>
  </si>
  <si>
    <t>Sector 52</t>
  </si>
  <si>
    <t>Uitzendbedrijven</t>
  </si>
  <si>
    <t>Sector 53</t>
  </si>
  <si>
    <t>Bewakingsondernemingen</t>
  </si>
  <si>
    <t>Sector 54</t>
  </si>
  <si>
    <t>Culturele instellingen</t>
  </si>
  <si>
    <t>Sector 55</t>
  </si>
  <si>
    <t>Overige takken van bedrijf en beroep</t>
  </si>
  <si>
    <t>Sector 56</t>
  </si>
  <si>
    <t>Schildersbedrijf</t>
  </si>
  <si>
    <t>Sector 57</t>
  </si>
  <si>
    <t>Stukadoorsbedrijf</t>
  </si>
  <si>
    <t>Sector 58</t>
  </si>
  <si>
    <t>Dakdekkersbedrijf</t>
  </si>
  <si>
    <t>Sector 59</t>
  </si>
  <si>
    <t>Mortelbedrijf</t>
  </si>
  <si>
    <t>Sector 60</t>
  </si>
  <si>
    <t>Steenhouwersbedrijf</t>
  </si>
  <si>
    <t>Sector 61</t>
  </si>
  <si>
    <t>Overheid, onderwijs en wetenschappen</t>
  </si>
  <si>
    <t>Sector 62</t>
  </si>
  <si>
    <t>Overheid, rijk, politie en rechterlijke macht</t>
  </si>
  <si>
    <t>Sector 63</t>
  </si>
  <si>
    <t>Overheid, defensie</t>
  </si>
  <si>
    <t>Sector 64</t>
  </si>
  <si>
    <t>Overheid, provincies en gemeenten</t>
  </si>
  <si>
    <t>Sector 65</t>
  </si>
  <si>
    <t>Overheid, openbare nutsbedrijven</t>
  </si>
  <si>
    <t>Sector 66</t>
  </si>
  <si>
    <t>Overheid, overige instellingen</t>
  </si>
  <si>
    <t>Sector 67</t>
  </si>
  <si>
    <t>Werk en (re)Integratie</t>
  </si>
  <si>
    <t>Sector 68</t>
  </si>
  <si>
    <t>Railbouw</t>
  </si>
  <si>
    <t>Sector 69</t>
  </si>
  <si>
    <t>Telecommunicatie</t>
  </si>
  <si>
    <t>Agrarisch bedrijf - gemiddeld</t>
  </si>
  <si>
    <t>Agrarisch bedrijf - hoog</t>
  </si>
  <si>
    <t>Agrarisch bedrijf - laag</t>
  </si>
  <si>
    <t>Bouwbedrijf - gemiddeld</t>
  </si>
  <si>
    <t>Bouwbedrijf - hoog</t>
  </si>
  <si>
    <t>Bouwbedrijf - laag</t>
  </si>
  <si>
    <t>Horeca algemeen - gemiddeld</t>
  </si>
  <si>
    <t>Horeca algemeen - hoog</t>
  </si>
  <si>
    <t>Horeca algemeen - laag</t>
  </si>
  <si>
    <t>Uitzendbedrijven - gemiddeld</t>
  </si>
  <si>
    <t>Uitzendbedrijven - Detachering</t>
  </si>
  <si>
    <t>Uitzendbedrijven - Intermediaire diensten</t>
  </si>
  <si>
    <t>Uitzendbedrijven IA</t>
  </si>
  <si>
    <t>Uitzendbedrijven IIA</t>
  </si>
  <si>
    <t>Uitzendbedrijven IB/IIB</t>
  </si>
  <si>
    <t>Culturele instellingen - gemiddeld</t>
  </si>
  <si>
    <t>Culturele instellingen - hoog</t>
  </si>
  <si>
    <t>Culturele instellingen - laag</t>
  </si>
  <si>
    <t>Schildersbedrijf - gemiddeld</t>
  </si>
  <si>
    <t>Schildersbedrijf - hoog</t>
  </si>
  <si>
    <t>Schildersbedrijf - laag</t>
  </si>
  <si>
    <t>Overzicht premies en parameters Whk</t>
  </si>
  <si>
    <t>Formuleblad</t>
  </si>
  <si>
    <t>Sectorale premie</t>
  </si>
  <si>
    <t>Individueel wg-risico = Uitkeringslast T-2 / gemiddeld premieloon T-6 tot en met T-2</t>
  </si>
  <si>
    <t>C * individuele premie + (1-C)* sectorale premie</t>
  </si>
  <si>
    <t>(loonsomgrens middelgroot/groot - loonsomgrens klein/middelgroot)</t>
  </si>
  <si>
    <t>Is de onderneming ingedeeld in sector 52, Uitzendbedrijven?</t>
  </si>
  <si>
    <t>In te vullen:</t>
  </si>
  <si>
    <t>Nee</t>
  </si>
  <si>
    <t>€</t>
  </si>
  <si>
    <t>Wat was de loonsom in onderstaande jaren?</t>
  </si>
  <si>
    <t>Formules</t>
  </si>
  <si>
    <t>Kleine werkgever</t>
  </si>
  <si>
    <t>Grote werkgever</t>
  </si>
  <si>
    <t>Gedifferentieerde premie</t>
  </si>
  <si>
    <t xml:space="preserve">Formule = </t>
  </si>
  <si>
    <t>Middelgrote werkgever</t>
  </si>
  <si>
    <t>Gedeeltelijk gedifferentieerde premie</t>
  </si>
  <si>
    <t>Onvolledige periode i.v.m. startdatum werkgever?</t>
  </si>
  <si>
    <t>Individueel wg-risico ZW</t>
  </si>
  <si>
    <t>C</t>
  </si>
  <si>
    <t>Uitgangspunten:</t>
  </si>
  <si>
    <t xml:space="preserve"> - Kinderopvang</t>
  </si>
  <si>
    <t>Gedifferentieerde premie Whk</t>
  </si>
  <si>
    <t xml:space="preserve"> - WGA-vast</t>
  </si>
  <si>
    <t xml:space="preserve"> - ZW-flex</t>
  </si>
  <si>
    <t>Totaal</t>
  </si>
  <si>
    <t>Basispremie WAO/WIA (Aof)</t>
  </si>
  <si>
    <t xml:space="preserve"> - Basispremie WIA/WGA</t>
  </si>
  <si>
    <t>Wanneer is de onderneming gestart?</t>
  </si>
  <si>
    <t>In welke sector is de werkgever ingedeeld?</t>
  </si>
  <si>
    <t>Uitleg</t>
  </si>
  <si>
    <t>Voor het invullen van de tool dient u de volgende gegevens bij de hand te houden:</t>
  </si>
  <si>
    <t>Mazars Flexwerk</t>
  </si>
  <si>
    <t>Disclaimer</t>
  </si>
  <si>
    <t>Deze rekentool is een uitgave van Mazars. Ondanks alle zorg die aan deze rekentool is besteed, blijven vergissingen mogelijk. De auteur kan geen aansprakelijkheid nemen voor onvolledigheden/onjuistheden, noch voor de gevolgen van activiteiten die worden ondernomen op basis van de uitkomsten van deze rekentool. Niets uit deze rekentool mag zonder voorafgaande toestemming worden vermenigvuldigd. Heeft u vragen en/of opmerkingen? Neem dan contact met ons op.</t>
  </si>
  <si>
    <t>Gemiddeld percentage</t>
  </si>
  <si>
    <t>Rekenpercentage</t>
  </si>
  <si>
    <t>Minimumpremie (grote werkgever)</t>
  </si>
  <si>
    <t>Maximumpremie (grote werkgever)</t>
  </si>
  <si>
    <t>Maximumpremie (grote werkgever) sector 52</t>
  </si>
  <si>
    <t>2017</t>
  </si>
  <si>
    <t>2015</t>
  </si>
  <si>
    <t>WGA</t>
  </si>
  <si>
    <t>Individueel wg-risico WGA</t>
  </si>
  <si>
    <t>Sector 1 - hoog</t>
  </si>
  <si>
    <t>Sector 1 - laag</t>
  </si>
  <si>
    <t>Sector 3 - hoog</t>
  </si>
  <si>
    <t>Sector 3 - laag</t>
  </si>
  <si>
    <t>Sector 9 - excl. fotografen</t>
  </si>
  <si>
    <t>Sector 9 - fotografen</t>
  </si>
  <si>
    <t>Sector 33 - hoog</t>
  </si>
  <si>
    <t>Sector 33 - laag</t>
  </si>
  <si>
    <t>Sector 52 - Detachering</t>
  </si>
  <si>
    <t>Sector 52 - Intermediaire diensten</t>
  </si>
  <si>
    <t>Sector 52 - IA</t>
  </si>
  <si>
    <t>Sector 52 - IIA</t>
  </si>
  <si>
    <t>Sector 52 - IB/IIB</t>
  </si>
  <si>
    <t>Sector 54 - hoog</t>
  </si>
  <si>
    <t>Sector 54 - laag</t>
  </si>
  <si>
    <t>Sector 56 - hoog</t>
  </si>
  <si>
    <t>Sector 56 - laag</t>
  </si>
  <si>
    <t>Dropdown t.b.v. start onderneming</t>
  </si>
  <si>
    <t>Sectoren code</t>
  </si>
  <si>
    <t>Sectoren naam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</si>
  <si>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</si>
  <si>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</si>
  <si>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</si>
  <si>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</si>
  <si>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</si>
  <si>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</si>
  <si>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</si>
  <si>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</si>
  <si>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</si>
  <si>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Basisjaar tbv rekentool</t>
  </si>
  <si>
    <t>Jaartal</t>
  </si>
  <si>
    <t>Kolomindex nr</t>
  </si>
  <si>
    <t>Grens klein/middel</t>
  </si>
  <si>
    <t>Grens middel/groot</t>
  </si>
  <si>
    <t>Grens klein/middel/groot</t>
  </si>
  <si>
    <t>Tussenkolom</t>
  </si>
  <si>
    <t>ZW-flex premies:</t>
  </si>
  <si>
    <t>Gemiddeld wg-risico WGA</t>
  </si>
  <si>
    <t>Gemiddeld wg-risico ZW</t>
  </si>
  <si>
    <t>Onderdeel</t>
  </si>
  <si>
    <t>WGA jaarlijkse info</t>
  </si>
  <si>
    <t>Correctiefactor wg-risico WGA</t>
  </si>
  <si>
    <t>Correctiefactor wg-risico ZW</t>
  </si>
  <si>
    <t>ZW jaarlijkse info</t>
  </si>
  <si>
    <t>T +31 (0)88 277 1900</t>
  </si>
  <si>
    <t>E nijmegen@mazars.nl</t>
  </si>
  <si>
    <t>-</t>
  </si>
  <si>
    <t>Sectorpremies</t>
  </si>
  <si>
    <t>Sectoren t.b.v. dropdown sector</t>
  </si>
  <si>
    <t>Grafische industrie exclusief fotografisch bedrijf</t>
  </si>
  <si>
    <t>Fotografisch bedrijf</t>
  </si>
  <si>
    <t>Naam werkgever</t>
  </si>
  <si>
    <t>Mazars. Vertrouwen door kwaliteit</t>
  </si>
  <si>
    <t>vervallen</t>
  </si>
  <si>
    <t xml:space="preserve"> - WW-Awf hoog</t>
  </si>
  <si>
    <t xml:space="preserve"> - WW-Awf laag</t>
  </si>
  <si>
    <t>Totaal incl. WW-Awf laag</t>
  </si>
  <si>
    <t>Totaal incl. WW-Awf hoog</t>
  </si>
  <si>
    <t>Gemiddelde percentage + individuele opslag</t>
  </si>
  <si>
    <t>Individuele opslag = correctiefactor wg-risico * (individueel wg-risicopercentage -/- gemiddeld wg-risicopercentage)</t>
  </si>
  <si>
    <t>René Timmer, sectorleider flexwerk</t>
  </si>
  <si>
    <t>Startdatum werkgever</t>
  </si>
  <si>
    <t>Kwalificatie werkgever</t>
  </si>
  <si>
    <t>Naam B.V.</t>
  </si>
  <si>
    <r>
      <rPr>
        <sz val="11"/>
        <color theme="2"/>
        <rFont val="Calibri"/>
        <family val="2"/>
      </rPr>
      <t>•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Gegevens met betrekking tot eigenrisicodragerschap ZW en WGA</t>
    </r>
  </si>
  <si>
    <t>•</t>
  </si>
  <si>
    <r>
      <t xml:space="preserve">C =  </t>
    </r>
    <r>
      <rPr>
        <i/>
        <u/>
        <sz val="11"/>
        <color theme="1"/>
        <rFont val="Arial"/>
        <family val="2"/>
      </rPr>
      <t xml:space="preserve">(loonsom werkgever - loonsomgrens klein/middelgroot)                      </t>
    </r>
  </si>
  <si>
    <t>WGA premies:</t>
  </si>
  <si>
    <t>In het tabblad 'Invulformulier' vult u in de grijze vakken de gegevens in. In het tabblad 'Premies' zullen vervolgens uw huidige premies en de geschatte premies voor 2022 worden weergegeven in een tabel, zodat u een vergelijking kunt maken. Per 1 januari 2020 is als gevolg van de Wet arbeidmarkt in balans de sectorpremie komen te vervallen en wordt de WW-Awf premie gedifferentieerd in een hoge en een lage premie. In de tabbladen 'Formuleblad' en 'Tabellen' vindt u de formules en gegevens waarop de berekeningen zijn gebaseerd.</t>
  </si>
  <si>
    <r>
      <rPr>
        <sz val="11"/>
        <color theme="2"/>
        <rFont val="Calibri"/>
        <family val="2"/>
      </rPr>
      <t>•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De Whk-beschikking 2021 en 2022 (inclusief de specificatie)</t>
    </r>
  </si>
  <si>
    <r>
      <rPr>
        <sz val="11"/>
        <color theme="2"/>
        <rFont val="Calibri"/>
        <family val="2"/>
        <scheme val="minor"/>
      </rPr>
      <t>•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Sectorindeling 2021 en 2022</t>
    </r>
  </si>
  <si>
    <t>Mocht u nog vragen hebben of meer informatie willen over de gedifferentieerde premies Werkhervattingskas 2022, neem dan gerust contact met ons op! Wij lichten een en ander graag nog even toe.</t>
  </si>
  <si>
    <t>Basispremie WIA/WGA (Aof) hoog</t>
  </si>
  <si>
    <t>Basispremie WIA/WGA (Aof) laag</t>
  </si>
  <si>
    <t xml:space="preserve"> - Basispremie WIA/WGA hoog</t>
  </si>
  <si>
    <t xml:space="preserve"> - Basispremie WIA/WGA laag</t>
  </si>
  <si>
    <t>Premieoverzicht 2021/2022</t>
  </si>
  <si>
    <t>* Met ingang van 1 januari 2020 is de sectorpremie komen te vervallen en wordt de Awf-premie gedifferentieerd in een hoge en een lage premie. De hoge premie is van toepassing op tijdelijke contracten en de lage premie is van toepassing op contracten voor onbepaalde tijd.</t>
  </si>
  <si>
    <t xml:space="preserve"> - Awf-premie hoog</t>
  </si>
  <si>
    <t xml:space="preserve"> - Awf-premie laag</t>
  </si>
  <si>
    <t>Awf-premie*</t>
  </si>
  <si>
    <t>Awf-premie hoog</t>
  </si>
  <si>
    <t>Awf-premie laag</t>
  </si>
  <si>
    <t>Voor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</si>
</sst>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000"/>
    <numFmt numFmtId="167" formatCode="&quot;€&quot;\ #,##0"/>
    <numFmt numFmtId="168" formatCode="[$€-2]\ #,##0"/>
    <numFmt numFmtId="169" formatCode="_(* #,##0_);_(* \(#,##0\);_(* &quot;-&quot;??_);_(@_)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color theme="0"/>
      <name val="Arial"/>
      <family val="2"/>
    </font>
    <font>
      <sz val="12"/>
      <color theme="1"/>
      <name val="Arial"/>
      <family val="2"/>
    </font>
    <font>
      <i/>
      <sz val="11"/>
      <color theme="3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3"/>
      <name val="Arial"/>
      <family val="2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5"/>
      <name val="Arial"/>
      <family val="2"/>
    </font>
    <font>
      <b/>
      <sz val="18"/>
      <color theme="0"/>
      <name val="Arial Narrow"/>
      <family val="2"/>
    </font>
    <font>
      <b/>
      <sz val="13"/>
      <color theme="0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0"/>
      <name val="Arial Narrow"/>
      <family val="2"/>
    </font>
    <font>
      <sz val="11"/>
      <color theme="1"/>
      <name val="Arial"/>
      <family val="2"/>
    </font>
    <font>
      <sz val="11"/>
      <color theme="2"/>
      <name val="Calibri"/>
      <family val="2"/>
    </font>
    <font>
      <sz val="11"/>
      <color theme="1"/>
      <name val="Wingdings"/>
      <family val="2"/>
      <charset val="2"/>
    </font>
    <font>
      <sz val="11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8"/>
      <color theme="1"/>
      <name val="Calibri"/>
      <family val="2"/>
      <scheme val="minor"/>
    </font>
    <font>
      <b/>
      <sz val="12"/>
      <color theme="2"/>
      <name val="Calibri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hair">
        <color theme="7" tint="0.39997558519241921"/>
      </top>
      <bottom style="hair">
        <color theme="7" tint="0.39997558519241921"/>
      </bottom>
      <diagonal/>
    </border>
    <border>
      <left/>
      <right/>
      <top style="hair">
        <color theme="7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2"/>
      </right>
      <top style="hair">
        <color theme="7" tint="0.39997558519241921"/>
      </top>
      <bottom/>
      <diagonal/>
    </border>
    <border>
      <left style="thin">
        <color theme="2"/>
      </left>
      <right/>
      <top/>
      <bottom style="hair">
        <color theme="0" tint="-0.249977111117893"/>
      </bottom>
      <diagonal/>
    </border>
    <border>
      <left style="thin">
        <color theme="2"/>
      </left>
      <right/>
      <top style="hair">
        <color theme="0" tint="-0.249977111117893"/>
      </top>
      <bottom style="thin">
        <color theme="2"/>
      </bottom>
      <diagonal/>
    </border>
    <border>
      <left/>
      <right/>
      <top style="hair">
        <color theme="0" tint="-0.249977111117893"/>
      </top>
      <bottom style="thin">
        <color theme="2"/>
      </bottom>
      <diagonal/>
    </border>
    <border>
      <left/>
      <right style="thin">
        <color theme="2"/>
      </right>
      <top style="hair">
        <color theme="7" tint="0.39997558519241921"/>
      </top>
      <bottom style="hair">
        <color theme="1" tint="0.59999389629810485"/>
      </bottom>
      <diagonal/>
    </border>
    <border>
      <left style="thin">
        <color theme="2"/>
      </left>
      <right/>
      <top style="hair">
        <color theme="0" tint="-0.249977111117893"/>
      </top>
      <bottom style="hair">
        <color theme="1" tint="0.59999389629810485"/>
      </bottom>
      <diagonal/>
    </border>
    <border>
      <left/>
      <right/>
      <top style="hair">
        <color theme="0" tint="-0.249977111117893"/>
      </top>
      <bottom style="hair">
        <color theme="1" tint="0.59999389629810485"/>
      </bottom>
      <diagonal/>
    </border>
    <border>
      <left/>
      <right style="thin">
        <color theme="2"/>
      </right>
      <top style="hair">
        <color theme="1" tint="0.59999389629810485"/>
      </top>
      <bottom style="thin">
        <color theme="2"/>
      </bottom>
      <diagonal/>
    </border>
    <border>
      <left/>
      <right/>
      <top style="hair">
        <color theme="1" tint="0.59999389629810485"/>
      </top>
      <bottom style="thin">
        <color theme="2"/>
      </bottom>
      <diagonal/>
    </border>
    <border>
      <left/>
      <right style="thin">
        <color theme="2"/>
      </right>
      <top/>
      <bottom style="hair">
        <color theme="7" tint="0.39997558519241921"/>
      </bottom>
      <diagonal/>
    </border>
    <border>
      <left style="thin">
        <color theme="2"/>
      </left>
      <right/>
      <top style="hair">
        <color theme="0" tint="-0.249977111117893"/>
      </top>
      <bottom/>
      <diagonal/>
    </border>
    <border>
      <left/>
      <right/>
      <top style="hair">
        <color theme="7" tint="0.39997558519241921"/>
      </top>
      <bottom style="hair">
        <color theme="0" tint="-0.249977111117893"/>
      </bottom>
      <diagonal/>
    </border>
    <border>
      <left/>
      <right/>
      <top style="hair">
        <color theme="7" tint="0.39997558519241921"/>
      </top>
      <bottom style="hair">
        <color theme="1" tint="0.59999389629810485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0">
    <xf numFmtId="0" fontId="0" fillId="0" borderId="0" xfId="0"/>
    <xf numFmtId="0" fontId="2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protection hidden="1"/>
    </xf>
    <xf numFmtId="3" fontId="2" fillId="2" borderId="0" xfId="0" applyNumberFormat="1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0" fontId="0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0" xfId="0" applyFont="1" applyFill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7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10" fontId="2" fillId="2" borderId="0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10" fontId="2" fillId="2" borderId="0" xfId="0" applyNumberFormat="1" applyFont="1" applyFill="1" applyBorder="1" applyAlignment="1" applyProtection="1">
      <alignment horizontal="left"/>
      <protection hidden="1"/>
    </xf>
    <xf numFmtId="10" fontId="10" fillId="2" borderId="0" xfId="0" applyNumberFormat="1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10" fontId="12" fillId="2" borderId="0" xfId="0" applyNumberFormat="1" applyFont="1" applyFill="1" applyBorder="1" applyAlignment="1" applyProtection="1">
      <alignment horizontal="left"/>
      <protection hidden="1"/>
    </xf>
    <xf numFmtId="10" fontId="12" fillId="2" borderId="0" xfId="0" applyNumberFormat="1" applyFont="1" applyFill="1" applyBorder="1" applyProtection="1">
      <protection hidden="1"/>
    </xf>
    <xf numFmtId="166" fontId="12" fillId="2" borderId="0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2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165" fontId="2" fillId="2" borderId="0" xfId="1" applyNumberFormat="1" applyFont="1" applyFill="1" applyProtection="1"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3" fontId="2" fillId="2" borderId="1" xfId="0" applyNumberFormat="1" applyFont="1" applyFill="1" applyBorder="1" applyProtection="1"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10" fontId="2" fillId="2" borderId="2" xfId="0" applyNumberFormat="1" applyFont="1" applyFill="1" applyBorder="1" applyAlignment="1" applyProtection="1">
      <protection hidden="1"/>
    </xf>
    <xf numFmtId="165" fontId="2" fillId="2" borderId="0" xfId="1" applyNumberFormat="1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0" fillId="2" borderId="0" xfId="0" applyFont="1" applyFill="1" applyAlignment="1" applyProtection="1">
      <alignment wrapText="1"/>
      <protection hidden="1"/>
    </xf>
    <xf numFmtId="0" fontId="0" fillId="2" borderId="0" xfId="0" applyFont="1" applyFill="1" applyProtection="1">
      <protection hidden="1"/>
    </xf>
    <xf numFmtId="3" fontId="2" fillId="2" borderId="0" xfId="1" applyNumberFormat="1" applyFont="1" applyFill="1" applyBorder="1" applyAlignment="1" applyProtection="1">
      <alignment horizontal="right"/>
      <protection hidden="1"/>
    </xf>
    <xf numFmtId="0" fontId="0" fillId="2" borderId="0" xfId="0" applyFont="1" applyFill="1" applyBorder="1" applyAlignment="1" applyProtection="1">
      <alignment horizontal="left" indent="1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10" fontId="10" fillId="2" borderId="0" xfId="0" applyNumberFormat="1" applyFont="1" applyFill="1" applyBorder="1" applyAlignment="1" applyProtection="1">
      <alignment horizontal="left"/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0" fontId="0" fillId="0" borderId="0" xfId="2" applyNumberFormat="1" applyFont="1"/>
    <xf numFmtId="169" fontId="0" fillId="0" borderId="0" xfId="1" applyNumberFormat="1" applyFont="1"/>
    <xf numFmtId="10" fontId="2" fillId="0" borderId="0" xfId="1" applyNumberFormat="1" applyFont="1" applyFill="1" applyBorder="1" applyProtection="1">
      <protection hidden="1"/>
    </xf>
    <xf numFmtId="165" fontId="2" fillId="0" borderId="0" xfId="1" applyNumberFormat="1" applyFont="1" applyFill="1" applyBorder="1" applyProtection="1">
      <protection hidden="1"/>
    </xf>
    <xf numFmtId="164" fontId="2" fillId="0" borderId="0" xfId="1" applyNumberFormat="1" applyFont="1" applyFill="1" applyBorder="1" applyProtection="1">
      <protection hidden="1"/>
    </xf>
    <xf numFmtId="10" fontId="2" fillId="0" borderId="0" xfId="2" applyNumberFormat="1" applyFont="1" applyFill="1" applyBorder="1" applyProtection="1">
      <protection hidden="1"/>
    </xf>
    <xf numFmtId="2" fontId="2" fillId="0" borderId="0" xfId="1" applyNumberFormat="1" applyFont="1" applyFill="1" applyBorder="1" applyProtection="1">
      <protection hidden="1"/>
    </xf>
    <xf numFmtId="43" fontId="2" fillId="0" borderId="0" xfId="1" applyNumberFormat="1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169" fontId="22" fillId="0" borderId="0" xfId="1" applyNumberFormat="1" applyFont="1"/>
    <xf numFmtId="10" fontId="0" fillId="0" borderId="12" xfId="2" applyNumberFormat="1" applyFont="1" applyBorder="1"/>
    <xf numFmtId="10" fontId="0" fillId="0" borderId="0" xfId="2" applyNumberFormat="1" applyFont="1" applyAlignment="1">
      <alignment horizontal="right"/>
    </xf>
    <xf numFmtId="0" fontId="13" fillId="0" borderId="0" xfId="0" applyFont="1"/>
    <xf numFmtId="0" fontId="0" fillId="0" borderId="0" xfId="0" applyAlignment="1">
      <alignment horizontal="right"/>
    </xf>
    <xf numFmtId="169" fontId="24" fillId="0" borderId="0" xfId="0" applyNumberFormat="1" applyFont="1"/>
    <xf numFmtId="0" fontId="5" fillId="2" borderId="0" xfId="0" applyFont="1" applyFill="1" applyBorder="1" applyProtection="1">
      <protection hidden="1"/>
    </xf>
    <xf numFmtId="10" fontId="5" fillId="2" borderId="0" xfId="0" applyNumberFormat="1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left" wrapText="1" indent="1"/>
      <protection hidden="1"/>
    </xf>
    <xf numFmtId="0" fontId="2" fillId="3" borderId="0" xfId="0" applyFont="1" applyFill="1" applyProtection="1"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26" fillId="2" borderId="0" xfId="0" applyFont="1" applyFill="1" applyAlignment="1" applyProtection="1">
      <alignment horizontal="left" vertical="center" wrapText="1" indent="2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2" fillId="2" borderId="17" xfId="0" applyFont="1" applyFill="1" applyBorder="1" applyProtection="1">
      <protection hidden="1"/>
    </xf>
    <xf numFmtId="0" fontId="2" fillId="2" borderId="18" xfId="0" applyFont="1" applyFill="1" applyBorder="1" applyProtection="1">
      <protection hidden="1"/>
    </xf>
    <xf numFmtId="0" fontId="2" fillId="2" borderId="19" xfId="0" applyFont="1" applyFill="1" applyBorder="1" applyProtection="1">
      <protection hidden="1"/>
    </xf>
    <xf numFmtId="0" fontId="2" fillId="2" borderId="20" xfId="0" applyFont="1" applyFill="1" applyBorder="1" applyProtection="1">
      <protection hidden="1"/>
    </xf>
    <xf numFmtId="0" fontId="2" fillId="2" borderId="21" xfId="0" applyFont="1" applyFill="1" applyBorder="1" applyProtection="1">
      <protection hidden="1"/>
    </xf>
    <xf numFmtId="0" fontId="0" fillId="2" borderId="17" xfId="0" applyFont="1" applyFill="1" applyBorder="1" applyProtection="1">
      <protection hidden="1"/>
    </xf>
    <xf numFmtId="0" fontId="0" fillId="2" borderId="18" xfId="0" applyFont="1" applyFill="1" applyBorder="1" applyProtection="1">
      <protection hidden="1"/>
    </xf>
    <xf numFmtId="0" fontId="0" fillId="2" borderId="0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0" fillId="2" borderId="0" xfId="0" applyFont="1" applyFill="1" applyBorder="1" applyAlignment="1" applyProtection="1">
      <protection hidden="1"/>
    </xf>
    <xf numFmtId="3" fontId="0" fillId="2" borderId="0" xfId="0" applyNumberFormat="1" applyFont="1" applyFill="1" applyBorder="1" applyAlignment="1" applyProtection="1">
      <protection hidden="1"/>
    </xf>
    <xf numFmtId="3" fontId="0" fillId="2" borderId="0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0" fontId="5" fillId="2" borderId="18" xfId="0" applyFont="1" applyFill="1" applyBorder="1" applyProtection="1">
      <protection hidden="1"/>
    </xf>
    <xf numFmtId="0" fontId="0" fillId="2" borderId="19" xfId="0" applyFont="1" applyFill="1" applyBorder="1" applyProtection="1">
      <protection hidden="1"/>
    </xf>
    <xf numFmtId="0" fontId="0" fillId="2" borderId="20" xfId="0" applyFont="1" applyFill="1" applyBorder="1" applyAlignment="1" applyProtection="1">
      <alignment horizontal="left" indent="1"/>
      <protection hidden="1"/>
    </xf>
    <xf numFmtId="0" fontId="0" fillId="2" borderId="20" xfId="0" applyFont="1" applyFill="1" applyBorder="1" applyProtection="1">
      <protection hidden="1"/>
    </xf>
    <xf numFmtId="0" fontId="0" fillId="2" borderId="21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0" fillId="5" borderId="0" xfId="0" applyFont="1" applyFill="1" applyBorder="1" applyProtection="1">
      <protection locked="0"/>
    </xf>
    <xf numFmtId="165" fontId="0" fillId="5" borderId="0" xfId="1" applyNumberFormat="1" applyFont="1" applyFill="1" applyBorder="1" applyProtection="1">
      <protection locked="0"/>
    </xf>
    <xf numFmtId="4" fontId="0" fillId="5" borderId="0" xfId="0" applyNumberFormat="1" applyFont="1" applyFill="1" applyBorder="1" applyAlignment="1" applyProtection="1">
      <protection locked="0"/>
    </xf>
    <xf numFmtId="0" fontId="5" fillId="2" borderId="20" xfId="0" applyFont="1" applyFill="1" applyBorder="1" applyProtection="1">
      <protection hidden="1"/>
    </xf>
    <xf numFmtId="10" fontId="5" fillId="2" borderId="20" xfId="0" applyNumberFormat="1" applyFont="1" applyFill="1" applyBorder="1" applyProtection="1">
      <protection hidden="1"/>
    </xf>
    <xf numFmtId="0" fontId="28" fillId="2" borderId="17" xfId="0" applyFont="1" applyFill="1" applyBorder="1" applyAlignment="1" applyProtection="1">
      <alignment horizontal="left" vertical="center"/>
      <protection hidden="1"/>
    </xf>
    <xf numFmtId="0" fontId="28" fillId="2" borderId="0" xfId="0" applyFont="1" applyFill="1" applyBorder="1" applyAlignment="1" applyProtection="1">
      <alignment horizontal="left" vertical="center"/>
      <protection hidden="1"/>
    </xf>
    <xf numFmtId="0" fontId="28" fillId="2" borderId="18" xfId="0" applyFont="1" applyFill="1" applyBorder="1" applyAlignment="1" applyProtection="1">
      <alignment horizontal="left" vertical="center"/>
      <protection hidden="1"/>
    </xf>
    <xf numFmtId="0" fontId="29" fillId="2" borderId="17" xfId="0" applyFont="1" applyFill="1" applyBorder="1" applyAlignment="1" applyProtection="1">
      <alignment horizontal="left" vertical="center"/>
      <protection hidden="1"/>
    </xf>
    <xf numFmtId="0" fontId="0" fillId="2" borderId="0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alignment horizontal="left" vertical="center" indent="1"/>
      <protection hidden="1"/>
    </xf>
    <xf numFmtId="0" fontId="30" fillId="2" borderId="0" xfId="0" applyFont="1" applyFill="1" applyBorder="1" applyAlignment="1" applyProtection="1">
      <alignment horizontal="left" vertical="center"/>
      <protection hidden="1"/>
    </xf>
    <xf numFmtId="0" fontId="30" fillId="2" borderId="18" xfId="0" applyFont="1" applyFill="1" applyBorder="1" applyAlignment="1" applyProtection="1">
      <alignment horizontal="left" vertical="center"/>
      <protection hidden="1"/>
    </xf>
    <xf numFmtId="167" fontId="12" fillId="2" borderId="0" xfId="0" applyNumberFormat="1" applyFont="1" applyFill="1" applyBorder="1" applyAlignment="1" applyProtection="1">
      <alignment horizontal="left" vertical="center"/>
      <protection hidden="1"/>
    </xf>
    <xf numFmtId="3" fontId="0" fillId="2" borderId="0" xfId="0" applyNumberFormat="1" applyFont="1" applyFill="1" applyBorder="1" applyAlignment="1" applyProtection="1">
      <alignment horizontal="left" vertical="center"/>
      <protection hidden="1"/>
    </xf>
    <xf numFmtId="3" fontId="0" fillId="2" borderId="0" xfId="0" applyNumberFormat="1" applyFont="1" applyFill="1" applyBorder="1" applyAlignment="1" applyProtection="1">
      <alignment horizontal="left" vertical="center" indent="1"/>
      <protection hidden="1"/>
    </xf>
    <xf numFmtId="168" fontId="0" fillId="2" borderId="0" xfId="0" applyNumberFormat="1" applyFont="1" applyFill="1" applyBorder="1" applyAlignment="1" applyProtection="1">
      <alignment horizontal="left" vertical="center"/>
      <protection hidden="1"/>
    </xf>
    <xf numFmtId="0" fontId="29" fillId="2" borderId="19" xfId="0" applyFont="1" applyFill="1" applyBorder="1" applyAlignment="1" applyProtection="1">
      <alignment horizontal="left" vertical="center"/>
      <protection hidden="1"/>
    </xf>
    <xf numFmtId="3" fontId="1" fillId="2" borderId="20" xfId="0" applyNumberFormat="1" applyFont="1" applyFill="1" applyBorder="1" applyAlignment="1" applyProtection="1">
      <alignment horizontal="left" vertical="center"/>
      <protection hidden="1"/>
    </xf>
    <xf numFmtId="0" fontId="30" fillId="2" borderId="20" xfId="0" applyFont="1" applyFill="1" applyBorder="1" applyAlignment="1" applyProtection="1">
      <alignment horizontal="left" vertical="center"/>
      <protection hidden="1"/>
    </xf>
    <xf numFmtId="0" fontId="30" fillId="2" borderId="21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3" fontId="3" fillId="2" borderId="0" xfId="0" applyNumberFormat="1" applyFont="1" applyFill="1" applyBorder="1" applyAlignment="1" applyProtection="1">
      <alignment horizontal="left" vertical="center"/>
      <protection hidden="1"/>
    </xf>
    <xf numFmtId="0" fontId="31" fillId="2" borderId="17" xfId="0" applyFont="1" applyFill="1" applyBorder="1" applyAlignment="1" applyProtection="1">
      <alignment horizontal="center" vertical="center"/>
      <protection hidden="1"/>
    </xf>
    <xf numFmtId="0" fontId="32" fillId="2" borderId="17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9" fillId="2" borderId="18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10" fontId="0" fillId="2" borderId="0" xfId="0" applyNumberFormat="1" applyFont="1" applyFill="1" applyBorder="1" applyAlignment="1" applyProtection="1">
      <alignment horizontal="right" vertical="center"/>
      <protection hidden="1"/>
    </xf>
    <xf numFmtId="0" fontId="0" fillId="2" borderId="0" xfId="0" quotePrefix="1" applyFont="1" applyFill="1" applyBorder="1" applyAlignment="1" applyProtection="1">
      <alignment horizontal="left" vertical="center"/>
      <protection hidden="1"/>
    </xf>
    <xf numFmtId="10" fontId="0" fillId="2" borderId="0" xfId="0" applyNumberFormat="1" applyFont="1" applyFill="1" applyBorder="1" applyAlignment="1" applyProtection="1">
      <alignment horizontal="right"/>
      <protection hidden="1"/>
    </xf>
    <xf numFmtId="10" fontId="12" fillId="2" borderId="0" xfId="0" applyNumberFormat="1" applyFont="1" applyFill="1" applyBorder="1" applyAlignment="1" applyProtection="1">
      <alignment horizontal="right"/>
      <protection hidden="1"/>
    </xf>
    <xf numFmtId="10" fontId="12" fillId="2" borderId="0" xfId="0" applyNumberFormat="1" applyFont="1" applyFill="1" applyBorder="1" applyAlignment="1" applyProtection="1">
      <alignment horizontal="right" vertical="center"/>
      <protection hidden="1"/>
    </xf>
    <xf numFmtId="10" fontId="3" fillId="2" borderId="0" xfId="0" applyNumberFormat="1" applyFont="1" applyFill="1" applyBorder="1" applyProtection="1">
      <protection hidden="1"/>
    </xf>
    <xf numFmtId="0" fontId="33" fillId="2" borderId="0" xfId="0" applyFont="1" applyFill="1" applyBorder="1" applyAlignment="1" applyProtection="1">
      <alignment horizontal="left" indent="1"/>
      <protection hidden="1"/>
    </xf>
    <xf numFmtId="0" fontId="4" fillId="2" borderId="17" xfId="0" applyFont="1" applyFill="1" applyBorder="1" applyAlignment="1" applyProtection="1">
      <alignment horizontal="left" vertical="center" wrapText="1"/>
      <protection hidden="1"/>
    </xf>
    <xf numFmtId="165" fontId="2" fillId="2" borderId="18" xfId="1" applyNumberFormat="1" applyFont="1" applyFill="1" applyBorder="1" applyProtection="1"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0" fontId="5" fillId="2" borderId="18" xfId="2" applyNumberFormat="1" applyFont="1" applyFill="1" applyBorder="1" applyProtection="1">
      <protection hidden="1"/>
    </xf>
    <xf numFmtId="3" fontId="2" fillId="2" borderId="23" xfId="2" applyNumberFormat="1" applyFont="1" applyFill="1" applyBorder="1" applyProtection="1">
      <protection hidden="1"/>
    </xf>
    <xf numFmtId="3" fontId="2" fillId="2" borderId="23" xfId="1" applyNumberFormat="1" applyFont="1" applyFill="1" applyBorder="1" applyProtection="1">
      <protection hidden="1"/>
    </xf>
    <xf numFmtId="0" fontId="2" fillId="2" borderId="17" xfId="0" applyFont="1" applyFill="1" applyBorder="1" applyAlignment="1" applyProtection="1">
      <alignment horizontal="left"/>
      <protection hidden="1"/>
    </xf>
    <xf numFmtId="165" fontId="2" fillId="2" borderId="23" xfId="1" applyNumberFormat="1" applyFont="1" applyFill="1" applyBorder="1" applyProtection="1">
      <protection hidden="1"/>
    </xf>
    <xf numFmtId="10" fontId="2" fillId="2" borderId="23" xfId="1" applyNumberFormat="1" applyFont="1" applyFill="1" applyBorder="1" applyProtection="1">
      <protection hidden="1"/>
    </xf>
    <xf numFmtId="164" fontId="2" fillId="2" borderId="23" xfId="1" applyFont="1" applyFill="1" applyBorder="1" applyProtection="1">
      <protection hidden="1"/>
    </xf>
    <xf numFmtId="0" fontId="2" fillId="2" borderId="17" xfId="0" applyFont="1" applyFill="1" applyBorder="1" applyAlignment="1" applyProtection="1">
      <alignment horizontal="left" wrapText="1"/>
      <protection hidden="1"/>
    </xf>
    <xf numFmtId="10" fontId="2" fillId="2" borderId="23" xfId="2" applyNumberFormat="1" applyFont="1" applyFill="1" applyBorder="1" applyProtection="1">
      <protection hidden="1"/>
    </xf>
    <xf numFmtId="0" fontId="2" fillId="2" borderId="25" xfId="0" applyFont="1" applyFill="1" applyBorder="1" applyAlignment="1" applyProtection="1">
      <alignment wrapText="1"/>
      <protection hidden="1"/>
    </xf>
    <xf numFmtId="0" fontId="2" fillId="2" borderId="26" xfId="0" applyFont="1" applyFill="1" applyBorder="1" applyAlignment="1" applyProtection="1">
      <alignment wrapText="1"/>
      <protection hidden="1"/>
    </xf>
    <xf numFmtId="0" fontId="2" fillId="2" borderId="26" xfId="0" applyFont="1" applyFill="1" applyBorder="1" applyProtection="1">
      <protection hidden="1"/>
    </xf>
    <xf numFmtId="165" fontId="2" fillId="2" borderId="21" xfId="1" applyNumberFormat="1" applyFont="1" applyFill="1" applyBorder="1" applyProtection="1">
      <protection hidden="1"/>
    </xf>
    <xf numFmtId="164" fontId="2" fillId="2" borderId="27" xfId="1" applyFont="1" applyFill="1" applyBorder="1" applyProtection="1">
      <protection hidden="1"/>
    </xf>
    <xf numFmtId="165" fontId="2" fillId="2" borderId="31" xfId="1" applyNumberFormat="1" applyFont="1" applyFill="1" applyBorder="1" applyProtection="1">
      <protection hidden="1"/>
    </xf>
    <xf numFmtId="165" fontId="2" fillId="2" borderId="30" xfId="1" applyNumberFormat="1" applyFont="1" applyFill="1" applyBorder="1" applyProtection="1">
      <protection hidden="1"/>
    </xf>
    <xf numFmtId="0" fontId="5" fillId="2" borderId="32" xfId="1" applyNumberFormat="1" applyFont="1" applyFill="1" applyBorder="1" applyAlignment="1" applyProtection="1">
      <alignment horizontal="right"/>
      <protection hidden="1"/>
    </xf>
    <xf numFmtId="10" fontId="2" fillId="0" borderId="23" xfId="1" applyNumberFormat="1" applyFont="1" applyFill="1" applyBorder="1" applyProtection="1">
      <protection hidden="1"/>
    </xf>
    <xf numFmtId="0" fontId="5" fillId="2" borderId="22" xfId="0" applyFont="1" applyFill="1" applyBorder="1" applyAlignment="1" applyProtection="1">
      <alignment horizontal="left" wrapText="1"/>
      <protection hidden="1"/>
    </xf>
    <xf numFmtId="10" fontId="2" fillId="0" borderId="27" xfId="1" applyNumberFormat="1" applyFont="1" applyFill="1" applyBorder="1" applyAlignment="1" applyProtection="1">
      <alignment horizontal="right"/>
      <protection hidden="1"/>
    </xf>
    <xf numFmtId="0" fontId="2" fillId="2" borderId="19" xfId="0" applyFont="1" applyFill="1" applyBorder="1" applyAlignment="1" applyProtection="1">
      <alignment wrapText="1"/>
      <protection hidden="1"/>
    </xf>
    <xf numFmtId="0" fontId="2" fillId="2" borderId="20" xfId="0" applyFont="1" applyFill="1" applyBorder="1" applyAlignment="1" applyProtection="1">
      <alignment wrapText="1"/>
      <protection hidden="1"/>
    </xf>
    <xf numFmtId="0" fontId="2" fillId="2" borderId="20" xfId="0" applyFont="1" applyFill="1" applyBorder="1" applyAlignment="1" applyProtection="1">
      <protection hidden="1"/>
    </xf>
    <xf numFmtId="0" fontId="5" fillId="2" borderId="1" xfId="0" applyNumberFormat="1" applyFont="1" applyFill="1" applyBorder="1" applyAlignment="1" applyProtection="1">
      <protection hidden="1"/>
    </xf>
    <xf numFmtId="10" fontId="2" fillId="0" borderId="0" xfId="2" applyNumberFormat="1" applyFont="1"/>
    <xf numFmtId="0" fontId="2" fillId="0" borderId="0" xfId="0" applyFont="1"/>
    <xf numFmtId="10" fontId="2" fillId="0" borderId="0" xfId="2" applyNumberFormat="1" applyFont="1" applyAlignment="1">
      <alignment horizontal="right"/>
    </xf>
    <xf numFmtId="10" fontId="2" fillId="0" borderId="0" xfId="2" applyNumberFormat="1" applyFont="1" applyFill="1"/>
    <xf numFmtId="0" fontId="2" fillId="0" borderId="0" xfId="0" applyFont="1" applyFill="1"/>
    <xf numFmtId="0" fontId="4" fillId="0" borderId="0" xfId="0" applyFont="1" applyFill="1" applyBorder="1"/>
    <xf numFmtId="0" fontId="0" fillId="0" borderId="0" xfId="0" applyFont="1" applyFill="1" applyBorder="1"/>
    <xf numFmtId="10" fontId="0" fillId="0" borderId="0" xfId="2" applyNumberFormat="1" applyFont="1" applyFill="1" applyBorder="1"/>
    <xf numFmtId="10" fontId="0" fillId="0" borderId="0" xfId="1" applyNumberFormat="1" applyFont="1" applyFill="1" applyBorder="1"/>
    <xf numFmtId="0" fontId="0" fillId="0" borderId="0" xfId="0" applyFont="1" applyFill="1" applyBorder="1" applyAlignment="1">
      <alignment horizontal="center"/>
    </xf>
    <xf numFmtId="10" fontId="0" fillId="0" borderId="0" xfId="0" applyNumberFormat="1" applyFont="1" applyFill="1" applyBorder="1"/>
    <xf numFmtId="2" fontId="0" fillId="0" borderId="0" xfId="1" applyNumberFormat="1" applyFont="1" applyFill="1" applyBorder="1"/>
    <xf numFmtId="165" fontId="0" fillId="0" borderId="0" xfId="1" applyNumberFormat="1" applyFont="1" applyFill="1" applyBorder="1"/>
    <xf numFmtId="164" fontId="0" fillId="0" borderId="0" xfId="1" applyNumberFormat="1" applyFont="1" applyFill="1" applyBorder="1"/>
    <xf numFmtId="2" fontId="0" fillId="0" borderId="0" xfId="0" applyNumberFormat="1" applyFont="1" applyFill="1" applyBorder="1"/>
    <xf numFmtId="164" fontId="0" fillId="0" borderId="0" xfId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/>
    <xf numFmtId="0" fontId="0" fillId="0" borderId="0" xfId="0" applyNumberFormat="1" applyFill="1" applyBorder="1"/>
    <xf numFmtId="2" fontId="0" fillId="0" borderId="0" xfId="0" applyNumberFormat="1" applyFill="1" applyBorder="1"/>
    <xf numFmtId="0" fontId="0" fillId="5" borderId="0" xfId="0" applyFill="1" applyBorder="1"/>
    <xf numFmtId="0" fontId="5" fillId="2" borderId="1" xfId="0" applyFont="1" applyFill="1" applyBorder="1" applyProtection="1">
      <protection hidden="1"/>
    </xf>
    <xf numFmtId="10" fontId="2" fillId="2" borderId="23" xfId="1" applyNumberFormat="1" applyFont="1" applyFill="1" applyBorder="1" applyAlignment="1" applyProtection="1">
      <alignment horizontal="right"/>
      <protection hidden="1"/>
    </xf>
    <xf numFmtId="10" fontId="2" fillId="2" borderId="5" xfId="2" applyNumberFormat="1" applyFont="1" applyFill="1" applyBorder="1" applyProtection="1">
      <protection hidden="1"/>
    </xf>
    <xf numFmtId="164" fontId="2" fillId="2" borderId="5" xfId="1" applyFont="1" applyFill="1" applyBorder="1" applyProtection="1">
      <protection hidden="1"/>
    </xf>
    <xf numFmtId="164" fontId="2" fillId="2" borderId="34" xfId="1" applyFont="1" applyFill="1" applyBorder="1" applyProtection="1">
      <protection hidden="1"/>
    </xf>
    <xf numFmtId="10" fontId="2" fillId="2" borderId="4" xfId="1" applyNumberFormat="1" applyFont="1" applyFill="1" applyBorder="1" applyProtection="1">
      <protection hidden="1"/>
    </xf>
    <xf numFmtId="10" fontId="2" fillId="2" borderId="5" xfId="1" applyNumberFormat="1" applyFont="1" applyFill="1" applyBorder="1" applyProtection="1">
      <protection hidden="1"/>
    </xf>
    <xf numFmtId="164" fontId="2" fillId="2" borderId="35" xfId="1" applyFont="1" applyFill="1" applyBorder="1" applyProtection="1">
      <protection hidden="1"/>
    </xf>
    <xf numFmtId="10" fontId="2" fillId="2" borderId="5" xfId="1" applyNumberFormat="1" applyFont="1" applyFill="1" applyBorder="1" applyAlignment="1" applyProtection="1">
      <alignment horizontal="right"/>
      <protection hidden="1"/>
    </xf>
    <xf numFmtId="0" fontId="4" fillId="2" borderId="17" xfId="0" applyFont="1" applyFill="1" applyBorder="1" applyAlignment="1" applyProtection="1">
      <alignment horizontal="left"/>
      <protection hidden="1"/>
    </xf>
    <xf numFmtId="0" fontId="4" fillId="2" borderId="18" xfId="0" applyFont="1" applyFill="1" applyBorder="1" applyAlignment="1" applyProtection="1">
      <alignment horizontal="left"/>
      <protection hidden="1"/>
    </xf>
    <xf numFmtId="10" fontId="2" fillId="2" borderId="20" xfId="0" applyNumberFormat="1" applyFont="1" applyFill="1" applyBorder="1" applyAlignment="1" applyProtection="1">
      <alignment horizontal="right"/>
      <protection hidden="1"/>
    </xf>
    <xf numFmtId="10" fontId="11" fillId="2" borderId="20" xfId="0" applyNumberFormat="1" applyFont="1" applyFill="1" applyBorder="1" applyAlignment="1" applyProtection="1">
      <alignment horizontal="left"/>
      <protection hidden="1"/>
    </xf>
    <xf numFmtId="0" fontId="5" fillId="2" borderId="17" xfId="0" applyFont="1" applyFill="1" applyBorder="1" applyAlignment="1" applyProtection="1">
      <alignment horizontal="left"/>
      <protection hidden="1"/>
    </xf>
    <xf numFmtId="0" fontId="5" fillId="2" borderId="18" xfId="0" applyFont="1" applyFill="1" applyBorder="1" applyAlignment="1" applyProtection="1">
      <alignment horizontal="left"/>
      <protection hidden="1"/>
    </xf>
    <xf numFmtId="10" fontId="0" fillId="2" borderId="0" xfId="0" applyNumberFormat="1" applyFont="1" applyFill="1" applyBorder="1" applyProtection="1">
      <protection hidden="1"/>
    </xf>
    <xf numFmtId="10" fontId="0" fillId="2" borderId="20" xfId="0" applyNumberFormat="1" applyFont="1" applyFill="1" applyBorder="1" applyAlignment="1" applyProtection="1">
      <alignment horizontal="right"/>
      <protection hidden="1"/>
    </xf>
    <xf numFmtId="10" fontId="5" fillId="2" borderId="20" xfId="0" applyNumberFormat="1" applyFont="1" applyFill="1" applyBorder="1" applyAlignment="1" applyProtection="1">
      <alignment horizontal="left"/>
      <protection hidden="1"/>
    </xf>
    <xf numFmtId="10" fontId="14" fillId="2" borderId="0" xfId="0" applyNumberFormat="1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10" fontId="0" fillId="2" borderId="0" xfId="0" applyNumberFormat="1" applyFont="1" applyFill="1" applyBorder="1" applyAlignment="1" applyProtection="1">
      <alignment horizontal="left"/>
      <protection hidden="1"/>
    </xf>
    <xf numFmtId="0" fontId="0" fillId="2" borderId="0" xfId="0" quotePrefix="1" applyFont="1" applyFill="1" applyBorder="1" applyProtection="1">
      <protection hidden="1"/>
    </xf>
    <xf numFmtId="10" fontId="35" fillId="0" borderId="0" xfId="2" applyNumberFormat="1" applyFont="1" applyFill="1" applyBorder="1" applyProtection="1">
      <protection hidden="1"/>
    </xf>
    <xf numFmtId="0" fontId="0" fillId="0" borderId="0" xfId="0" applyFill="1"/>
    <xf numFmtId="10" fontId="0" fillId="0" borderId="0" xfId="2" applyNumberFormat="1" applyFont="1" applyFill="1"/>
    <xf numFmtId="10" fontId="2" fillId="2" borderId="0" xfId="2" applyNumberFormat="1" applyFont="1" applyFill="1"/>
    <xf numFmtId="10" fontId="0" fillId="2" borderId="0" xfId="2" applyNumberFormat="1" applyFont="1" applyFill="1"/>
    <xf numFmtId="0" fontId="19" fillId="3" borderId="0" xfId="0" applyFont="1" applyFill="1" applyAlignment="1" applyProtection="1">
      <alignment horizontal="left" vertical="center"/>
      <protection hidden="1"/>
    </xf>
    <xf numFmtId="0" fontId="20" fillId="4" borderId="14" xfId="0" applyFont="1" applyFill="1" applyBorder="1" applyAlignment="1" applyProtection="1">
      <alignment horizontal="left" vertical="center"/>
      <protection hidden="1"/>
    </xf>
    <xf numFmtId="0" fontId="20" fillId="4" borderId="15" xfId="0" applyFont="1" applyFill="1" applyBorder="1" applyAlignment="1" applyProtection="1">
      <alignment horizontal="left" vertical="center"/>
      <protection hidden="1"/>
    </xf>
    <xf numFmtId="0" fontId="20" fillId="4" borderId="16" xfId="0" applyFont="1" applyFill="1" applyBorder="1" applyAlignment="1" applyProtection="1">
      <alignment horizontal="left" vertical="center"/>
      <protection hidden="1"/>
    </xf>
    <xf numFmtId="0" fontId="0" fillId="2" borderId="0" xfId="0" applyFont="1" applyFill="1" applyBorder="1" applyAlignment="1" applyProtection="1">
      <alignment horizontal="left" wrapText="1"/>
      <protection hidden="1"/>
    </xf>
    <xf numFmtId="0" fontId="0" fillId="5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 wrapText="1"/>
      <protection hidden="1"/>
    </xf>
    <xf numFmtId="0" fontId="3" fillId="2" borderId="18" xfId="0" applyFont="1" applyFill="1" applyBorder="1" applyAlignment="1" applyProtection="1">
      <alignment horizontal="left" wrapText="1"/>
      <protection hidden="1"/>
    </xf>
    <xf numFmtId="0" fontId="5" fillId="2" borderId="0" xfId="0" quotePrefix="1" applyFont="1" applyFill="1" applyBorder="1" applyAlignment="1" applyProtection="1">
      <alignment horizontal="left" wrapText="1"/>
      <protection hidden="1"/>
    </xf>
    <xf numFmtId="0" fontId="23" fillId="3" borderId="0" xfId="0" applyFont="1" applyFill="1" applyAlignment="1" applyProtection="1">
      <alignment horizontal="left" vertical="center"/>
      <protection hidden="1"/>
    </xf>
    <xf numFmtId="10" fontId="12" fillId="2" borderId="0" xfId="0" applyNumberFormat="1" applyFont="1" applyFill="1" applyBorder="1" applyAlignment="1" applyProtection="1">
      <alignment horizontal="left"/>
      <protection hidden="1"/>
    </xf>
    <xf numFmtId="10" fontId="12" fillId="2" borderId="18" xfId="0" applyNumberFormat="1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12" fillId="2" borderId="18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left" indent="3"/>
      <protection hidden="1"/>
    </xf>
    <xf numFmtId="0" fontId="12" fillId="2" borderId="18" xfId="0" applyFont="1" applyFill="1" applyBorder="1" applyAlignment="1" applyProtection="1">
      <alignment horizontal="left" indent="3"/>
      <protection hidden="1"/>
    </xf>
    <xf numFmtId="0" fontId="2" fillId="2" borderId="28" xfId="0" applyFont="1" applyFill="1" applyBorder="1" applyAlignment="1" applyProtection="1">
      <alignment horizontal="left" wrapText="1" indent="1"/>
      <protection hidden="1"/>
    </xf>
    <xf numFmtId="0" fontId="2" fillId="2" borderId="29" xfId="0" applyFont="1" applyFill="1" applyBorder="1" applyAlignment="1" applyProtection="1">
      <alignment horizontal="left" wrapText="1" indent="1"/>
      <protection hidden="1"/>
    </xf>
    <xf numFmtId="0" fontId="2" fillId="2" borderId="22" xfId="0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21" fillId="5" borderId="17" xfId="0" applyFont="1" applyFill="1" applyBorder="1" applyAlignment="1" applyProtection="1">
      <alignment horizontal="left" wrapText="1"/>
      <protection hidden="1"/>
    </xf>
    <xf numFmtId="0" fontId="21" fillId="5" borderId="0" xfId="0" applyFont="1" applyFill="1" applyBorder="1" applyAlignment="1" applyProtection="1">
      <alignment horizontal="left" wrapText="1"/>
      <protection hidden="1"/>
    </xf>
    <xf numFmtId="0" fontId="21" fillId="5" borderId="18" xfId="0" applyFont="1" applyFill="1" applyBorder="1" applyAlignment="1" applyProtection="1">
      <alignment horizontal="left" wrapText="1"/>
      <protection hidden="1"/>
    </xf>
    <xf numFmtId="0" fontId="0" fillId="2" borderId="24" xfId="0" applyFont="1" applyFill="1" applyBorder="1" applyAlignment="1" applyProtection="1">
      <alignment horizontal="left" wrapText="1"/>
      <protection hidden="1"/>
    </xf>
    <xf numFmtId="0" fontId="0" fillId="2" borderId="1" xfId="0" applyFont="1" applyFill="1" applyBorder="1" applyAlignment="1" applyProtection="1">
      <alignment horizontal="left" wrapText="1"/>
      <protection hidden="1"/>
    </xf>
    <xf numFmtId="0" fontId="0" fillId="2" borderId="22" xfId="0" applyFont="1" applyFill="1" applyBorder="1" applyAlignment="1" applyProtection="1">
      <alignment horizontal="left" wrapText="1"/>
      <protection hidden="1"/>
    </xf>
    <xf numFmtId="0" fontId="0" fillId="2" borderId="2" xfId="0" applyFont="1" applyFill="1" applyBorder="1" applyAlignment="1" applyProtection="1">
      <alignment horizontal="left" wrapText="1"/>
      <protection hidden="1"/>
    </xf>
    <xf numFmtId="0" fontId="2" fillId="2" borderId="2" xfId="0" applyFont="1" applyFill="1" applyBorder="1" applyAlignment="1" applyProtection="1">
      <alignment horizontal="left" wrapText="1"/>
      <protection hidden="1"/>
    </xf>
    <xf numFmtId="0" fontId="2" fillId="2" borderId="22" xfId="0" applyFont="1" applyFill="1" applyBorder="1" applyAlignment="1" applyProtection="1">
      <alignment horizontal="left" wrapText="1"/>
      <protection hidden="1"/>
    </xf>
    <xf numFmtId="0" fontId="19" fillId="3" borderId="0" xfId="0" applyFont="1" applyFill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 applyProtection="1">
      <alignment horizontal="left" wrapText="1"/>
      <protection hidden="1"/>
    </xf>
    <xf numFmtId="0" fontId="5" fillId="2" borderId="2" xfId="0" applyFont="1" applyFill="1" applyBorder="1" applyAlignment="1" applyProtection="1">
      <alignment horizontal="left" wrapText="1"/>
      <protection hidden="1"/>
    </xf>
    <xf numFmtId="0" fontId="2" fillId="2" borderId="22" xfId="0" applyFont="1" applyFill="1" applyBorder="1" applyAlignment="1" applyProtection="1">
      <alignment horizontal="left" wrapText="1" indent="1"/>
      <protection hidden="1"/>
    </xf>
    <xf numFmtId="0" fontId="2" fillId="2" borderId="2" xfId="0" applyFont="1" applyFill="1" applyBorder="1" applyAlignment="1" applyProtection="1">
      <alignment horizontal="left" wrapText="1" indent="1"/>
      <protection hidden="1"/>
    </xf>
    <xf numFmtId="0" fontId="2" fillId="2" borderId="33" xfId="0" applyFont="1" applyFill="1" applyBorder="1" applyAlignment="1" applyProtection="1">
      <alignment horizontal="left" wrapText="1" indent="1"/>
      <protection hidden="1"/>
    </xf>
    <xf numFmtId="0" fontId="2" fillId="2" borderId="3" xfId="0" applyFont="1" applyFill="1" applyBorder="1" applyAlignment="1" applyProtection="1">
      <alignment horizontal="left" wrapText="1" indent="1"/>
      <protection hidden="1"/>
    </xf>
    <xf numFmtId="0" fontId="0" fillId="2" borderId="22" xfId="0" applyFont="1" applyFill="1" applyBorder="1" applyAlignment="1" applyProtection="1">
      <alignment horizontal="left" vertical="top" wrapText="1" indent="1"/>
      <protection hidden="1"/>
    </xf>
    <xf numFmtId="0" fontId="0" fillId="2" borderId="2" xfId="0" applyFont="1" applyFill="1" applyBorder="1" applyAlignment="1" applyProtection="1">
      <alignment horizontal="left" vertical="top" wrapText="1" indent="1"/>
      <protection hidden="1"/>
    </xf>
  </cellXfs>
  <cellStyles count="3">
    <cellStyle name="Komma" xfId="1" builtinId="3"/>
    <cellStyle name="Procent" xfId="2" builtinId="5"/>
    <cellStyle name="Standaard" xfId="0" builtinId="0"/>
  </cellStyles>
  <dxfs count="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5" formatCode="_ * #,##0.00_ ;_ * \-#,##0.00_ ;_ * &quot;-&quot;??_ ;_ @_ "/>
      <fill>
        <patternFill patternType="none">
          <fgColor indexed="64"/>
          <bgColor auto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3366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art_onderneming" displayName="Start_onderneming" ref="A9:A18" totalsRowShown="0">
  <autoFilter ref="A9:A18" xr:uid="{00000000-0009-0000-0100-000001000000}"/>
  <tableColumns count="1">
    <tableColumn id="1" xr3:uid="{00000000-0010-0000-0000-000001000000}" name="Dropdown t.b.v. start onderneming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Tabel8" displayName="Tabel8" ref="A306:A382" totalsRowShown="0" headerRowDxfId="2" dataDxfId="1">
  <autoFilter ref="A306:A382" xr:uid="{00000000-0009-0000-0100-000008000000}"/>
  <tableColumns count="1">
    <tableColumn id="1" xr3:uid="{00000000-0010-0000-0900-000001000000}" name="Sectoren t.b.v. dropdown sector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Sectoren t.b.v. dropdown secto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emies_sectorfonds" displayName="Premies_sectorfonds" ref="A45:G129" totalsRowShown="0">
  <autoFilter ref="A45:G129" xr:uid="{00000000-0009-0000-0100-000002000000}"/>
  <tableColumns count="7">
    <tableColumn id="1" xr3:uid="{00000000-0010-0000-0100-000001000000}" name="Sectoren code"/>
    <tableColumn id="2" xr3:uid="{00000000-0010-0000-0100-000002000000}" name="Sectoren naam"/>
    <tableColumn id="3" xr3:uid="{00000000-0010-0000-0100-000003000000}" name="2015" dataDxfId="82"/>
    <tableColumn id="4" xr3:uid="{00000000-0010-0000-0100-000004000000}" name="2016" dataDxfId="81"/>
    <tableColumn id="5" xr3:uid="{00000000-0010-0000-0100-000005000000}" name="2017" dataDxfId="80"/>
    <tableColumn id="6" xr3:uid="{00000000-0010-0000-0100-000006000000}" name="2018" dataDxfId="79"/>
    <tableColumn id="7" xr3:uid="{00000000-0010-0000-0100-000007000000}" name="2019" dataDxfId="78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Jaartal_kolomindex" displayName="Jaartal_kolomindex" ref="E1:F13" totalsRowShown="0">
  <autoFilter ref="E1:F13" xr:uid="{00000000-0009-0000-0100-000003000000}"/>
  <tableColumns count="2">
    <tableColumn id="1" xr3:uid="{00000000-0010-0000-0200-000001000000}" name="Jaartal">
      <calculatedColumnFormula>+E1+1</calculatedColumnFormula>
    </tableColumn>
    <tableColumn id="2" xr3:uid="{00000000-0010-0000-0200-000002000000}" name="Kolomindex nr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Grens_klein_middel_groot" displayName="Grens_klein_middel_groot" ref="A21:D27" totalsRowShown="0" dataDxfId="77">
  <autoFilter ref="A21:D27" xr:uid="{00000000-0009-0000-0100-000004000000}"/>
  <tableColumns count="4">
    <tableColumn id="1" xr3:uid="{00000000-0010-0000-0300-000001000000}" name="Jaartal"/>
    <tableColumn id="2" xr3:uid="{00000000-0010-0000-0300-000002000000}" name="Gemiddelde loonsom" dataDxfId="76"/>
    <tableColumn id="3" xr3:uid="{00000000-0010-0000-0300-000003000000}" name="Grens klein/middel" dataDxfId="75">
      <calculatedColumnFormula>+B22*10</calculatedColumnFormula>
    </tableColumn>
    <tableColumn id="4" xr3:uid="{00000000-0010-0000-0300-000004000000}" name="Grens middel/groot" dataDxfId="74">
      <calculatedColumnFormula>+B22*100</calculatedColumnFormula>
    </tableColumn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Premies_werknemersverzekeringen" displayName="Premies_werknemersverzekeringen" ref="A30:N39" totalsRowShown="0" dataDxfId="73">
  <autoFilter ref="A30:N39" xr:uid="{00000000-0009-0000-0100-000005000000}"/>
  <tableColumns count="14">
    <tableColumn id="1" xr3:uid="{00000000-0010-0000-0400-000001000000}" name="Premies werknemersverzekeringen"/>
    <tableColumn id="14" xr3:uid="{00000000-0010-0000-0400-00000E000000}" name="Tussenkolom"/>
    <tableColumn id="2" xr3:uid="{00000000-0010-0000-0400-000002000000}" name="2015" dataDxfId="72"/>
    <tableColumn id="3" xr3:uid="{00000000-0010-0000-0400-000003000000}" name="2016" dataDxfId="71"/>
    <tableColumn id="4" xr3:uid="{00000000-0010-0000-0400-000004000000}" name="2017" dataDxfId="70"/>
    <tableColumn id="5" xr3:uid="{00000000-0010-0000-0400-000005000000}" name="2018" dataDxfId="69"/>
    <tableColumn id="6" xr3:uid="{00000000-0010-0000-0400-000006000000}" name="2019" dataDxfId="68"/>
    <tableColumn id="7" xr3:uid="{00000000-0010-0000-0400-000007000000}" name="2020" dataDxfId="67"/>
    <tableColumn id="8" xr3:uid="{00000000-0010-0000-0400-000008000000}" name="2021" dataDxfId="66"/>
    <tableColumn id="9" xr3:uid="{00000000-0010-0000-0400-000009000000}" name="2022" dataDxfId="65"/>
    <tableColumn id="10" xr3:uid="{00000000-0010-0000-0400-00000A000000}" name="2023" dataDxfId="64"/>
    <tableColumn id="11" xr3:uid="{00000000-0010-0000-0400-00000B000000}" name="2024" dataDxfId="63"/>
    <tableColumn id="12" xr3:uid="{00000000-0010-0000-0400-00000C000000}" name="2025" dataDxfId="62"/>
    <tableColumn id="13" xr3:uid="{00000000-0010-0000-0400-00000D000000}" name="2026" dataDxfId="61"/>
  </tableColumns>
  <tableStyleInfo name="TableStyleMedium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ZW_flex_premies" displayName="ZW_flex_premies" ref="A203:N270" totalsRowShown="0" dataDxfId="60">
  <autoFilter ref="A203:N270" xr:uid="{00000000-0009-0000-0100-000006000000}"/>
  <tableColumns count="14">
    <tableColumn id="1" xr3:uid="{00000000-0010-0000-0500-000001000000}" name="Sectoren code"/>
    <tableColumn id="2" xr3:uid="{00000000-0010-0000-0500-000002000000}" name="Sectoren naam"/>
    <tableColumn id="3" xr3:uid="{00000000-0010-0000-0500-000003000000}" name="2015" dataDxfId="59"/>
    <tableColumn id="4" xr3:uid="{00000000-0010-0000-0500-000004000000}" name="2016" dataDxfId="58"/>
    <tableColumn id="5" xr3:uid="{00000000-0010-0000-0500-000005000000}" name="2017" dataDxfId="57"/>
    <tableColumn id="6" xr3:uid="{00000000-0010-0000-0500-000006000000}" name="2018" dataDxfId="56"/>
    <tableColumn id="7" xr3:uid="{00000000-0010-0000-0500-000007000000}" name="2019" dataDxfId="55" dataCellStyle="Procent"/>
    <tableColumn id="8" xr3:uid="{00000000-0010-0000-0500-000008000000}" name="2020" dataDxfId="54"/>
    <tableColumn id="9" xr3:uid="{00000000-0010-0000-0500-000009000000}" name="2021" dataDxfId="53"/>
    <tableColumn id="10" xr3:uid="{00000000-0010-0000-0500-00000A000000}" name="2022" dataDxfId="52"/>
    <tableColumn id="11" xr3:uid="{00000000-0010-0000-0500-00000B000000}" name="2023" dataDxfId="51"/>
    <tableColumn id="12" xr3:uid="{00000000-0010-0000-0500-00000C000000}" name="2024" dataDxfId="50"/>
    <tableColumn id="13" xr3:uid="{00000000-0010-0000-0500-00000D000000}" name="2025" dataDxfId="49"/>
    <tableColumn id="14" xr3:uid="{00000000-0010-0000-0500-00000E000000}" name="2026" dataDxfId="48"/>
  </tableColumns>
  <tableStyleInfo name="TableStyleMedium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WGA_premies" displayName="WGA_premies" ref="A132:N199" totalsRowShown="0" dataDxfId="47">
  <autoFilter ref="A132:N199" xr:uid="{00000000-0009-0000-0100-000007000000}"/>
  <tableColumns count="14">
    <tableColumn id="1" xr3:uid="{00000000-0010-0000-0600-000001000000}" name="Sectoren code"/>
    <tableColumn id="2" xr3:uid="{00000000-0010-0000-0600-000002000000}" name="Sectoren naam"/>
    <tableColumn id="3" xr3:uid="{00000000-0010-0000-0600-000003000000}" name="2015" dataDxfId="46"/>
    <tableColumn id="4" xr3:uid="{00000000-0010-0000-0600-000004000000}" name="2016" dataDxfId="45"/>
    <tableColumn id="5" xr3:uid="{00000000-0010-0000-0600-000005000000}" name="2017" dataDxfId="44"/>
    <tableColumn id="6" xr3:uid="{00000000-0010-0000-0600-000006000000}" name="2018" dataDxfId="43"/>
    <tableColumn id="7" xr3:uid="{00000000-0010-0000-0600-000007000000}" name="2019" dataDxfId="42" dataCellStyle="Procent"/>
    <tableColumn id="8" xr3:uid="{00000000-0010-0000-0600-000008000000}" name="2020" dataDxfId="41"/>
    <tableColumn id="9" xr3:uid="{00000000-0010-0000-0600-000009000000}" name="2021" dataDxfId="40"/>
    <tableColumn id="10" xr3:uid="{00000000-0010-0000-0600-00000A000000}" name="2022" dataDxfId="39"/>
    <tableColumn id="11" xr3:uid="{00000000-0010-0000-0600-00000B000000}" name="2023" dataDxfId="38"/>
    <tableColumn id="12" xr3:uid="{00000000-0010-0000-0600-00000C000000}" name="2024" dataDxfId="37"/>
    <tableColumn id="13" xr3:uid="{00000000-0010-0000-0600-00000D000000}" name="2025" dataDxfId="36"/>
    <tableColumn id="14" xr3:uid="{00000000-0010-0000-0600-00000E000000}" name="2026" dataDxfId="35"/>
  </tableColumns>
  <tableStyleInfo name="TableStyleMedium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WGA_jaar_info" displayName="WGA_jaar_info" ref="A274:N286" totalsRowShown="0" headerRowDxfId="34" dataDxfId="33">
  <autoFilter ref="A274:N286" xr:uid="{00000000-0009-0000-0100-000009000000}"/>
  <tableColumns count="14">
    <tableColumn id="1" xr3:uid="{00000000-0010-0000-0700-000001000000}" name="Onderdeel" dataDxfId="32"/>
    <tableColumn id="2" xr3:uid="{00000000-0010-0000-0700-000002000000}" name="Tussenkolom" dataDxfId="31"/>
    <tableColumn id="3" xr3:uid="{00000000-0010-0000-0700-000003000000}" name="2015" dataDxfId="30"/>
    <tableColumn id="4" xr3:uid="{00000000-0010-0000-0700-000004000000}" name="2016" dataDxfId="29"/>
    <tableColumn id="5" xr3:uid="{00000000-0010-0000-0700-000005000000}" name="2017" dataDxfId="28"/>
    <tableColumn id="6" xr3:uid="{00000000-0010-0000-0700-000006000000}" name="2018" dataDxfId="27"/>
    <tableColumn id="7" xr3:uid="{00000000-0010-0000-0700-000007000000}" name="2019" dataDxfId="26"/>
    <tableColumn id="8" xr3:uid="{00000000-0010-0000-0700-000008000000}" name="2020" dataDxfId="25"/>
    <tableColumn id="9" xr3:uid="{00000000-0010-0000-0700-000009000000}" name="2021" dataDxfId="24"/>
    <tableColumn id="10" xr3:uid="{00000000-0010-0000-0700-00000A000000}" name="2022" dataDxfId="23"/>
    <tableColumn id="11" xr3:uid="{00000000-0010-0000-0700-00000B000000}" name="2023" dataDxfId="22"/>
    <tableColumn id="12" xr3:uid="{00000000-0010-0000-0700-00000C000000}" name="2024" dataDxfId="21"/>
    <tableColumn id="13" xr3:uid="{00000000-0010-0000-0700-00000D000000}" name="2025" dataDxfId="20"/>
    <tableColumn id="14" xr3:uid="{00000000-0010-0000-0700-00000E000000}" name="2026" dataDxfId="19"/>
  </tableColumns>
  <tableStyleInfo name="TableStyleMedium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ZW_jaar_info" displayName="ZW_jaar_info" ref="A290:N303" totalsRowShown="0" headerRowDxfId="18" dataDxfId="17">
  <autoFilter ref="A290:N303" xr:uid="{00000000-0009-0000-0100-00000B000000}"/>
  <tableColumns count="14">
    <tableColumn id="1" xr3:uid="{00000000-0010-0000-0800-000001000000}" name="Onderdeel" dataDxfId="16"/>
    <tableColumn id="2" xr3:uid="{00000000-0010-0000-0800-000002000000}" name="Tussenkolom" dataDxfId="15"/>
    <tableColumn id="3" xr3:uid="{00000000-0010-0000-0800-000003000000}" name="2015" dataDxfId="14"/>
    <tableColumn id="4" xr3:uid="{00000000-0010-0000-0800-000004000000}" name="2016" dataDxfId="13"/>
    <tableColumn id="5" xr3:uid="{00000000-0010-0000-0800-000005000000}" name="2017" dataDxfId="12"/>
    <tableColumn id="6" xr3:uid="{00000000-0010-0000-0800-000006000000}" name="2018" dataDxfId="11"/>
    <tableColumn id="7" xr3:uid="{00000000-0010-0000-0800-000007000000}" name="2019" dataDxfId="10"/>
    <tableColumn id="8" xr3:uid="{00000000-0010-0000-0800-000008000000}" name="2020" dataDxfId="9"/>
    <tableColumn id="9" xr3:uid="{00000000-0010-0000-0800-000009000000}" name="2021" dataDxfId="8"/>
    <tableColumn id="10" xr3:uid="{00000000-0010-0000-0800-00000A000000}" name="2022" dataDxfId="7"/>
    <tableColumn id="11" xr3:uid="{00000000-0010-0000-0800-00000B000000}" name="2023" dataDxfId="6"/>
    <tableColumn id="12" xr3:uid="{00000000-0010-0000-0800-00000C000000}" name="2024" dataDxfId="5"/>
    <tableColumn id="13" xr3:uid="{00000000-0010-0000-0800-00000D000000}" name="2025" dataDxfId="4"/>
    <tableColumn id="14" xr3:uid="{00000000-0010-0000-0800-00000E000000}" name="2026" dataDxfId="3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Kleurenthema Mazars office">
  <a:themeElements>
    <a:clrScheme name="Mazars nieuw">
      <a:dk1>
        <a:srgbClr val="787878"/>
      </a:dk1>
      <a:lt1>
        <a:sysClr val="window" lastClr="FFFFFF"/>
      </a:lt1>
      <a:dk2>
        <a:srgbClr val="0A1F8F"/>
      </a:dk2>
      <a:lt2>
        <a:srgbClr val="0071CE"/>
      </a:lt2>
      <a:accent1>
        <a:srgbClr val="3D8375"/>
      </a:accent1>
      <a:accent2>
        <a:srgbClr val="704B63"/>
      </a:accent2>
      <a:accent3>
        <a:srgbClr val="3D4775"/>
      </a:accent3>
      <a:accent4>
        <a:srgbClr val="9EA480"/>
      </a:accent4>
      <a:accent5>
        <a:srgbClr val="79AFDA"/>
      </a:accent5>
      <a:accent6>
        <a:srgbClr val="457E8F"/>
      </a:accent6>
      <a:hlink>
        <a:srgbClr val="704B63"/>
      </a:hlink>
      <a:folHlink>
        <a:srgbClr val="38273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2"/>
  <sheetViews>
    <sheetView zoomScaleNormal="100" workbookViewId="0">
      <selection activeCell="F17" sqref="F17"/>
    </sheetView>
  </sheetViews>
  <sheetFormatPr defaultColWidth="9" defaultRowHeight="14" x14ac:dyDescent="0.3"/>
  <cols>
    <col min="1" max="1" width="1.25" style="1" customWidth="1"/>
    <col min="2" max="2" width="85.75" style="1" customWidth="1"/>
    <col min="3" max="3" width="1.33203125" style="1" customWidth="1"/>
    <col min="4" max="16384" width="9" style="1"/>
  </cols>
  <sheetData>
    <row r="1" spans="1:3" ht="28" customHeight="1" x14ac:dyDescent="0.3">
      <c r="A1" s="78"/>
      <c r="B1" s="79" t="s">
        <v>207</v>
      </c>
      <c r="C1" s="78"/>
    </row>
    <row r="3" spans="1:3" ht="84" x14ac:dyDescent="0.3">
      <c r="B3" s="45" t="s">
        <v>289</v>
      </c>
    </row>
    <row r="4" spans="1:3" x14ac:dyDescent="0.3">
      <c r="B4" s="32"/>
    </row>
    <row r="5" spans="1:3" s="33" customFormat="1" x14ac:dyDescent="0.3">
      <c r="B5" s="33" t="s">
        <v>208</v>
      </c>
    </row>
    <row r="6" spans="1:3" s="33" customFormat="1" x14ac:dyDescent="0.3"/>
    <row r="7" spans="1:3" ht="14.5" x14ac:dyDescent="0.3">
      <c r="B7" s="80" t="s">
        <v>290</v>
      </c>
    </row>
    <row r="8" spans="1:3" ht="14.5" x14ac:dyDescent="0.3">
      <c r="B8" s="80" t="s">
        <v>285</v>
      </c>
    </row>
    <row r="9" spans="1:3" ht="14.5" x14ac:dyDescent="0.3">
      <c r="B9" s="80" t="s">
        <v>291</v>
      </c>
    </row>
    <row r="10" spans="1:3" x14ac:dyDescent="0.3">
      <c r="B10" s="32"/>
    </row>
    <row r="11" spans="1:3" ht="42" x14ac:dyDescent="0.3">
      <c r="B11" s="45" t="s">
        <v>292</v>
      </c>
    </row>
    <row r="13" spans="1:3" x14ac:dyDescent="0.3">
      <c r="B13" s="18" t="s">
        <v>209</v>
      </c>
    </row>
    <row r="14" spans="1:3" x14ac:dyDescent="0.3">
      <c r="B14" s="46" t="s">
        <v>281</v>
      </c>
    </row>
    <row r="15" spans="1:3" x14ac:dyDescent="0.3">
      <c r="B15" s="46" t="s">
        <v>265</v>
      </c>
    </row>
    <row r="16" spans="1:3" x14ac:dyDescent="0.3">
      <c r="B16" s="46" t="s">
        <v>266</v>
      </c>
    </row>
    <row r="18" spans="2:2" x14ac:dyDescent="0.3">
      <c r="B18" s="20" t="s">
        <v>273</v>
      </c>
    </row>
    <row r="19" spans="2:2" x14ac:dyDescent="0.3">
      <c r="B19" s="44"/>
    </row>
    <row r="21" spans="2:2" x14ac:dyDescent="0.3">
      <c r="B21" s="81" t="s">
        <v>210</v>
      </c>
    </row>
    <row r="22" spans="2:2" ht="70" x14ac:dyDescent="0.3">
      <c r="B22" s="32" t="s">
        <v>211</v>
      </c>
    </row>
  </sheetData>
  <pageMargins left="0.7" right="0.7" top="0.75" bottom="0.75" header="0.3" footer="0.3"/>
  <pageSetup paperSize="9" scale="91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6"/>
  <sheetViews>
    <sheetView zoomScaleNormal="100" workbookViewId="0">
      <selection activeCell="J24" sqref="J24"/>
    </sheetView>
  </sheetViews>
  <sheetFormatPr defaultColWidth="9" defaultRowHeight="14" x14ac:dyDescent="0.3"/>
  <cols>
    <col min="1" max="1" width="3.75" style="1" customWidth="1"/>
    <col min="2" max="2" width="24.25" style="1" customWidth="1"/>
    <col min="3" max="3" width="6.33203125" style="1" customWidth="1"/>
    <col min="4" max="4" width="4.83203125" style="1" customWidth="1"/>
    <col min="5" max="5" width="3.08203125" style="1" customWidth="1"/>
    <col min="6" max="6" width="2.25" style="1" customWidth="1"/>
    <col min="7" max="7" width="14.33203125" style="1" customWidth="1"/>
    <col min="8" max="8" width="14.5" style="1" customWidth="1"/>
    <col min="9" max="9" width="12" style="1" customWidth="1"/>
    <col min="10" max="16384" width="9" style="1"/>
  </cols>
  <sheetData>
    <row r="1" spans="1:9" ht="28" customHeight="1" x14ac:dyDescent="0.3">
      <c r="A1" s="212" t="str">
        <f>"Rekenmodel Gedifferentieerde premies WGA en ZW "&amp;Hulpsheet!$B$2</f>
        <v>Rekenmodel Gedifferentieerde premies WGA en ZW 2022</v>
      </c>
      <c r="B1" s="212"/>
      <c r="C1" s="212"/>
      <c r="D1" s="212"/>
      <c r="E1" s="212"/>
      <c r="F1" s="212"/>
      <c r="G1" s="212"/>
      <c r="H1" s="212"/>
      <c r="I1" s="212"/>
    </row>
    <row r="2" spans="1:9" x14ac:dyDescent="0.3">
      <c r="A2" s="3"/>
      <c r="B2" s="3"/>
      <c r="C2" s="3"/>
      <c r="D2" s="3"/>
      <c r="E2" s="3"/>
      <c r="F2" s="3"/>
      <c r="G2" s="3"/>
      <c r="H2" s="3"/>
      <c r="I2" s="3"/>
    </row>
    <row r="3" spans="1:9" s="2" customFormat="1" ht="18" customHeight="1" x14ac:dyDescent="0.35">
      <c r="A3" s="213" t="s">
        <v>183</v>
      </c>
      <c r="B3" s="214"/>
      <c r="C3" s="214"/>
      <c r="D3" s="214"/>
      <c r="E3" s="214"/>
      <c r="F3" s="214"/>
      <c r="G3" s="214"/>
      <c r="H3" s="214"/>
      <c r="I3" s="215"/>
    </row>
    <row r="4" spans="1:9" x14ac:dyDescent="0.3">
      <c r="A4" s="87"/>
      <c r="B4" s="75"/>
      <c r="C4" s="4"/>
      <c r="D4" s="4"/>
      <c r="E4" s="4"/>
      <c r="F4" s="4"/>
      <c r="G4" s="4"/>
      <c r="H4" s="4"/>
      <c r="I4" s="88"/>
    </row>
    <row r="5" spans="1:9" x14ac:dyDescent="0.3">
      <c r="A5" s="87"/>
      <c r="B5" s="4" t="s">
        <v>272</v>
      </c>
      <c r="C5" s="4"/>
      <c r="D5" s="4"/>
      <c r="E5" s="4"/>
      <c r="F5" s="4"/>
      <c r="G5" s="217" t="s">
        <v>284</v>
      </c>
      <c r="H5" s="217"/>
      <c r="I5" s="88"/>
    </row>
    <row r="6" spans="1:9" x14ac:dyDescent="0.3">
      <c r="A6" s="87"/>
      <c r="B6" s="75"/>
      <c r="C6" s="4"/>
      <c r="D6" s="4"/>
      <c r="E6" s="4"/>
      <c r="F6" s="4"/>
      <c r="G6" s="4"/>
      <c r="H6" s="4"/>
      <c r="I6" s="88"/>
    </row>
    <row r="7" spans="1:9" x14ac:dyDescent="0.3">
      <c r="A7" s="87"/>
      <c r="B7" s="216" t="s">
        <v>205</v>
      </c>
      <c r="C7" s="216"/>
      <c r="D7" s="216"/>
      <c r="E7" s="89"/>
      <c r="F7" s="4"/>
      <c r="G7" s="101" t="s">
        <v>304</v>
      </c>
      <c r="H7" s="4"/>
      <c r="I7" s="88"/>
    </row>
    <row r="8" spans="1:9" x14ac:dyDescent="0.3">
      <c r="A8" s="87"/>
      <c r="B8" s="4"/>
      <c r="C8" s="4"/>
      <c r="D8" s="4"/>
      <c r="E8" s="4"/>
      <c r="F8" s="4"/>
      <c r="G8" s="4"/>
      <c r="H8" s="4"/>
      <c r="I8" s="88"/>
    </row>
    <row r="9" spans="1:9" x14ac:dyDescent="0.3">
      <c r="A9" s="87"/>
      <c r="B9" s="4" t="s">
        <v>186</v>
      </c>
      <c r="C9" s="4"/>
      <c r="D9" s="4"/>
      <c r="E9" s="4"/>
      <c r="F9" s="4"/>
      <c r="G9" s="4"/>
      <c r="H9" s="4"/>
      <c r="I9" s="88"/>
    </row>
    <row r="10" spans="1:9" x14ac:dyDescent="0.3">
      <c r="A10" s="87"/>
      <c r="B10" s="48">
        <f>Hulpsheet!$B$2-2</f>
        <v>2020</v>
      </c>
      <c r="C10" s="4"/>
      <c r="D10" s="4"/>
      <c r="E10" s="4"/>
      <c r="F10" s="4" t="s">
        <v>185</v>
      </c>
      <c r="G10" s="102">
        <v>10</v>
      </c>
      <c r="H10" s="4"/>
      <c r="I10" s="88"/>
    </row>
    <row r="11" spans="1:9" x14ac:dyDescent="0.3">
      <c r="A11" s="87"/>
      <c r="B11" s="48">
        <f>+B10-1</f>
        <v>2019</v>
      </c>
      <c r="C11" s="4"/>
      <c r="D11" s="4"/>
      <c r="E11" s="4"/>
      <c r="F11" s="4" t="s">
        <v>185</v>
      </c>
      <c r="G11" s="102">
        <v>10</v>
      </c>
      <c r="H11" s="4"/>
      <c r="I11" s="88"/>
    </row>
    <row r="12" spans="1:9" x14ac:dyDescent="0.3">
      <c r="A12" s="87"/>
      <c r="B12" s="48">
        <f>+B11-1</f>
        <v>2018</v>
      </c>
      <c r="C12" s="75"/>
      <c r="D12" s="75"/>
      <c r="E12" s="75"/>
      <c r="F12" s="4" t="s">
        <v>185</v>
      </c>
      <c r="G12" s="102">
        <v>101</v>
      </c>
      <c r="H12" s="4"/>
      <c r="I12" s="88"/>
    </row>
    <row r="13" spans="1:9" x14ac:dyDescent="0.3">
      <c r="A13" s="87"/>
      <c r="B13" s="48">
        <f>+B12-1</f>
        <v>2017</v>
      </c>
      <c r="C13" s="75"/>
      <c r="D13" s="75"/>
      <c r="E13" s="75"/>
      <c r="F13" s="4" t="s">
        <v>185</v>
      </c>
      <c r="G13" s="102">
        <v>10</v>
      </c>
      <c r="H13" s="4"/>
      <c r="I13" s="88"/>
    </row>
    <row r="14" spans="1:9" x14ac:dyDescent="0.3">
      <c r="A14" s="87"/>
      <c r="B14" s="48">
        <f>+B13-1</f>
        <v>2016</v>
      </c>
      <c r="C14" s="75"/>
      <c r="D14" s="75"/>
      <c r="E14" s="75"/>
      <c r="F14" s="4" t="s">
        <v>185</v>
      </c>
      <c r="G14" s="102">
        <v>10</v>
      </c>
      <c r="H14" s="4"/>
      <c r="I14" s="88"/>
    </row>
    <row r="15" spans="1:9" x14ac:dyDescent="0.3">
      <c r="A15" s="87"/>
      <c r="B15" s="48">
        <f>+B14-1</f>
        <v>2015</v>
      </c>
      <c r="C15" s="75"/>
      <c r="D15" s="75"/>
      <c r="E15" s="75"/>
      <c r="F15" s="4" t="s">
        <v>185</v>
      </c>
      <c r="G15" s="102">
        <v>101</v>
      </c>
      <c r="H15" s="4"/>
      <c r="I15" s="88"/>
    </row>
    <row r="16" spans="1:9" x14ac:dyDescent="0.3">
      <c r="A16" s="87"/>
      <c r="B16" s="75"/>
      <c r="C16" s="4"/>
      <c r="D16" s="4"/>
      <c r="E16" s="4"/>
      <c r="F16" s="4"/>
      <c r="G16" s="4"/>
      <c r="H16" s="4"/>
      <c r="I16" s="88"/>
    </row>
    <row r="17" spans="1:9" x14ac:dyDescent="0.3">
      <c r="A17" s="87"/>
      <c r="B17" s="5" t="str">
        <f>"Kwalificatie werkgever in "&amp;Hulpsheet!$B$2-1&amp;":"</f>
        <v>Kwalificatie werkgever in 2021:</v>
      </c>
      <c r="C17" s="4"/>
      <c r="D17" s="5"/>
      <c r="E17" s="5"/>
      <c r="F17" s="4"/>
      <c r="G17" s="100" t="str">
        <f>IF($G$11&lt;=VLOOKUP(Hulpsheet!$B$2-1,Grens_klein_middel_groot[],3,FALSE),"Kleine werkgever",IF(Invulformulier!$G$11&gt;VLOOKUP(Hulpsheet!$B$2-1,Grens_klein_middel_groot[],4,FALSE),"Grote werkgever","Middelgrote werkgever"))</f>
        <v>Kleine werkgever</v>
      </c>
      <c r="H17" s="90"/>
      <c r="I17" s="88"/>
    </row>
    <row r="18" spans="1:9" x14ac:dyDescent="0.3">
      <c r="A18" s="87"/>
      <c r="B18" s="5" t="str">
        <f>"Kwalificatie werkgever in "&amp;Hulpsheet!$B$2&amp;":"</f>
        <v>Kwalificatie werkgever in 2022:</v>
      </c>
      <c r="C18" s="4"/>
      <c r="D18" s="5"/>
      <c r="E18" s="5"/>
      <c r="F18" s="4"/>
      <c r="G18" s="100" t="str">
        <f>IF($G$10&lt;=VLOOKUP(Hulpsheet!$B$2,Grens_klein_middel_groot[],3,FALSE),"Kleine werkgever",IF(Invulformulier!$G$10&gt;VLOOKUP(Hulpsheet!$B$2,Grens_klein_middel_groot[],4,FALSE),"Grote werkgever","Middelgrote werkgever"))</f>
        <v>Kleine werkgever</v>
      </c>
      <c r="H18" s="90"/>
      <c r="I18" s="88"/>
    </row>
    <row r="19" spans="1:9" x14ac:dyDescent="0.3">
      <c r="A19" s="87"/>
      <c r="B19" s="4"/>
      <c r="C19" s="4"/>
      <c r="D19" s="4"/>
      <c r="E19" s="4"/>
      <c r="F19" s="4"/>
      <c r="G19" s="4"/>
      <c r="H19" s="4"/>
      <c r="I19" s="88"/>
    </row>
    <row r="20" spans="1:9" x14ac:dyDescent="0.3">
      <c r="A20" s="87"/>
      <c r="B20" s="4" t="str">
        <f>"Wat was de uitkeringslast in "&amp;Hulpsheet!$B$2-3&amp;"?"</f>
        <v>Wat was de uitkeringslast in 2019?</v>
      </c>
      <c r="C20" s="5"/>
      <c r="D20" s="91"/>
      <c r="E20" s="91"/>
      <c r="F20" s="91"/>
      <c r="G20" s="4"/>
      <c r="H20" s="4"/>
      <c r="I20" s="88"/>
    </row>
    <row r="21" spans="1:9" x14ac:dyDescent="0.3">
      <c r="A21" s="87"/>
      <c r="B21" s="48" t="s">
        <v>219</v>
      </c>
      <c r="C21" s="5"/>
      <c r="D21" s="5"/>
      <c r="E21" s="5"/>
      <c r="F21" s="91" t="s">
        <v>185</v>
      </c>
      <c r="G21" s="103">
        <v>0</v>
      </c>
      <c r="H21" s="92"/>
      <c r="I21" s="88"/>
    </row>
    <row r="22" spans="1:9" x14ac:dyDescent="0.3">
      <c r="A22" s="87"/>
      <c r="B22" s="48" t="s">
        <v>11</v>
      </c>
      <c r="C22" s="5"/>
      <c r="D22" s="5"/>
      <c r="E22" s="5"/>
      <c r="F22" s="91" t="s">
        <v>185</v>
      </c>
      <c r="G22" s="103">
        <v>0</v>
      </c>
      <c r="H22" s="92"/>
      <c r="I22" s="88"/>
    </row>
    <row r="23" spans="1:9" x14ac:dyDescent="0.3">
      <c r="A23" s="87"/>
      <c r="B23" s="4"/>
      <c r="C23" s="4"/>
      <c r="D23" s="4"/>
      <c r="E23" s="4"/>
      <c r="F23" s="4"/>
      <c r="G23" s="4"/>
      <c r="H23" s="4"/>
      <c r="I23" s="88"/>
    </row>
    <row r="24" spans="1:9" x14ac:dyDescent="0.3">
      <c r="A24" s="87"/>
      <c r="B24" s="4" t="str">
        <f>"Wat was de uitkeringslast in "&amp;Hulpsheet!$B$2-2&amp;"?"</f>
        <v>Wat was de uitkeringslast in 2020?</v>
      </c>
      <c r="C24" s="5"/>
      <c r="D24" s="91"/>
      <c r="E24" s="91"/>
      <c r="F24" s="91"/>
      <c r="G24" s="4"/>
      <c r="H24" s="4"/>
      <c r="I24" s="88"/>
    </row>
    <row r="25" spans="1:9" x14ac:dyDescent="0.3">
      <c r="A25" s="87"/>
      <c r="B25" s="48" t="s">
        <v>219</v>
      </c>
      <c r="C25" s="5"/>
      <c r="D25" s="5"/>
      <c r="E25" s="5"/>
      <c r="F25" s="91" t="s">
        <v>185</v>
      </c>
      <c r="G25" s="103">
        <v>0</v>
      </c>
      <c r="H25" s="92"/>
      <c r="I25" s="88"/>
    </row>
    <row r="26" spans="1:9" x14ac:dyDescent="0.3">
      <c r="A26" s="87"/>
      <c r="B26" s="48" t="s">
        <v>11</v>
      </c>
      <c r="C26" s="4"/>
      <c r="D26" s="4"/>
      <c r="E26" s="4"/>
      <c r="F26" s="91" t="s">
        <v>185</v>
      </c>
      <c r="G26" s="103">
        <v>0</v>
      </c>
      <c r="H26" s="93"/>
      <c r="I26" s="88"/>
    </row>
    <row r="27" spans="1:9" x14ac:dyDescent="0.3">
      <c r="A27" s="87"/>
      <c r="B27" s="4"/>
      <c r="C27" s="4"/>
      <c r="D27" s="4"/>
      <c r="E27" s="4"/>
      <c r="F27" s="4"/>
      <c r="G27" s="4"/>
      <c r="H27" s="4"/>
      <c r="I27" s="88"/>
    </row>
    <row r="28" spans="1:9" x14ac:dyDescent="0.3">
      <c r="A28" s="87"/>
      <c r="B28" s="4" t="s">
        <v>206</v>
      </c>
      <c r="C28" s="4"/>
      <c r="D28" s="4"/>
      <c r="E28" s="4"/>
      <c r="F28" s="4"/>
      <c r="G28" s="217" t="s">
        <v>233</v>
      </c>
      <c r="H28" s="217"/>
      <c r="I28" s="88"/>
    </row>
    <row r="29" spans="1:9" ht="15" customHeight="1" x14ac:dyDescent="0.3">
      <c r="A29" s="87"/>
      <c r="B29" s="4"/>
      <c r="C29" s="4"/>
      <c r="D29" s="4"/>
      <c r="E29" s="4"/>
      <c r="F29" s="4"/>
      <c r="G29" s="218" t="str">
        <f>VLOOKUP($G$28,Premies_sectorfonds[],2,FALSE)</f>
        <v>Uitzendbedrijven IB/IIB</v>
      </c>
      <c r="H29" s="218"/>
      <c r="I29" s="219"/>
    </row>
    <row r="30" spans="1:9" x14ac:dyDescent="0.3">
      <c r="A30" s="87"/>
      <c r="B30" s="4"/>
      <c r="C30" s="4"/>
      <c r="D30" s="4"/>
      <c r="E30" s="4"/>
      <c r="F30" s="4"/>
      <c r="G30" s="94"/>
      <c r="H30" s="94"/>
      <c r="I30" s="95"/>
    </row>
    <row r="31" spans="1:9" x14ac:dyDescent="0.3">
      <c r="A31" s="87"/>
      <c r="B31" s="4" t="str">
        <f>"Is de werkgever eigen risicodrager in "&amp;Hulpsheet!$B$2-3&amp;"?"</f>
        <v>Is de werkgever eigen risicodrager in 2019?</v>
      </c>
      <c r="C31" s="4"/>
      <c r="D31" s="91"/>
      <c r="E31" s="91"/>
      <c r="F31" s="91"/>
      <c r="G31" s="4"/>
      <c r="H31" s="4"/>
      <c r="I31" s="88"/>
    </row>
    <row r="32" spans="1:9" x14ac:dyDescent="0.3">
      <c r="A32" s="87"/>
      <c r="B32" s="48" t="s">
        <v>4</v>
      </c>
      <c r="C32" s="4"/>
      <c r="D32" s="91"/>
      <c r="E32" s="91"/>
      <c r="F32" s="91"/>
      <c r="G32" s="101" t="s">
        <v>184</v>
      </c>
      <c r="H32" s="4"/>
      <c r="I32" s="88"/>
    </row>
    <row r="33" spans="1:9" x14ac:dyDescent="0.3">
      <c r="A33" s="87"/>
      <c r="B33" s="48" t="s">
        <v>11</v>
      </c>
      <c r="C33" s="4"/>
      <c r="D33" s="4"/>
      <c r="E33" s="4"/>
      <c r="F33" s="4"/>
      <c r="G33" s="101" t="s">
        <v>184</v>
      </c>
      <c r="H33" s="4"/>
      <c r="I33" s="88"/>
    </row>
    <row r="34" spans="1:9" x14ac:dyDescent="0.3">
      <c r="A34" s="87"/>
      <c r="B34" s="9"/>
      <c r="C34" s="4"/>
      <c r="D34" s="4"/>
      <c r="E34" s="4"/>
      <c r="F34" s="4"/>
      <c r="G34" s="4"/>
      <c r="H34" s="4"/>
      <c r="I34" s="95"/>
    </row>
    <row r="35" spans="1:9" x14ac:dyDescent="0.3">
      <c r="A35" s="87"/>
      <c r="B35" s="4" t="str">
        <f>"Is de werkgever eigen risicodrager in "&amp;Hulpsheet!$B$2-2&amp;"?"</f>
        <v>Is de werkgever eigen risicodrager in 2020?</v>
      </c>
      <c r="C35" s="4"/>
      <c r="D35" s="91"/>
      <c r="E35" s="91"/>
      <c r="F35" s="91"/>
      <c r="G35" s="4"/>
      <c r="H35" s="4"/>
      <c r="I35" s="88"/>
    </row>
    <row r="36" spans="1:9" x14ac:dyDescent="0.3">
      <c r="A36" s="87"/>
      <c r="B36" s="48" t="s">
        <v>4</v>
      </c>
      <c r="C36" s="4"/>
      <c r="D36" s="91"/>
      <c r="E36" s="91"/>
      <c r="F36" s="91"/>
      <c r="G36" s="101" t="s">
        <v>184</v>
      </c>
      <c r="H36" s="4"/>
      <c r="I36" s="88"/>
    </row>
    <row r="37" spans="1:9" x14ac:dyDescent="0.3">
      <c r="A37" s="87"/>
      <c r="B37" s="48" t="s">
        <v>11</v>
      </c>
      <c r="C37" s="4"/>
      <c r="D37" s="4"/>
      <c r="E37" s="4"/>
      <c r="F37" s="4"/>
      <c r="G37" s="101" t="s">
        <v>184</v>
      </c>
      <c r="H37" s="4"/>
      <c r="I37" s="88"/>
    </row>
    <row r="38" spans="1:9" x14ac:dyDescent="0.3">
      <c r="A38" s="87"/>
      <c r="B38" s="9"/>
      <c r="C38" s="4"/>
      <c r="D38" s="4"/>
      <c r="E38" s="4"/>
      <c r="F38" s="4"/>
      <c r="G38" s="4"/>
      <c r="H38" s="4"/>
      <c r="I38" s="88"/>
    </row>
    <row r="39" spans="1:9" x14ac:dyDescent="0.3">
      <c r="A39" s="87"/>
      <c r="B39" s="4" t="str">
        <f>"Is de werkgever eigen risicodrager in "&amp;Hulpsheet!$B$2-1&amp;"?"</f>
        <v>Is de werkgever eigen risicodrager in 2021?</v>
      </c>
      <c r="C39" s="4"/>
      <c r="D39" s="91"/>
      <c r="E39" s="91"/>
      <c r="F39" s="91"/>
      <c r="G39" s="4"/>
      <c r="H39" s="4"/>
      <c r="I39" s="88"/>
    </row>
    <row r="40" spans="1:9" x14ac:dyDescent="0.3">
      <c r="A40" s="87"/>
      <c r="B40" s="48" t="s">
        <v>219</v>
      </c>
      <c r="C40" s="4"/>
      <c r="D40" s="91"/>
      <c r="E40" s="91"/>
      <c r="F40" s="91"/>
      <c r="G40" s="101" t="s">
        <v>184</v>
      </c>
      <c r="H40" s="4"/>
      <c r="I40" s="88"/>
    </row>
    <row r="41" spans="1:9" x14ac:dyDescent="0.3">
      <c r="A41" s="87"/>
      <c r="B41" s="48" t="s">
        <v>11</v>
      </c>
      <c r="C41" s="4"/>
      <c r="D41" s="4"/>
      <c r="E41" s="4"/>
      <c r="F41" s="4"/>
      <c r="G41" s="101" t="s">
        <v>184</v>
      </c>
      <c r="H41" s="4"/>
      <c r="I41" s="88"/>
    </row>
    <row r="42" spans="1:9" x14ac:dyDescent="0.3">
      <c r="A42" s="87"/>
      <c r="B42" s="9"/>
      <c r="C42" s="4"/>
      <c r="D42" s="4"/>
      <c r="E42" s="4"/>
      <c r="F42" s="4"/>
      <c r="G42" s="4"/>
      <c r="H42" s="4"/>
      <c r="I42" s="88"/>
    </row>
    <row r="43" spans="1:9" x14ac:dyDescent="0.3">
      <c r="A43" s="87"/>
      <c r="B43" s="4" t="str">
        <f>"Is de werkgever eigen risicodrager in "&amp;Hulpsheet!$B$2&amp;"?"</f>
        <v>Is de werkgever eigen risicodrager in 2022?</v>
      </c>
      <c r="C43" s="4"/>
      <c r="D43" s="91"/>
      <c r="E43" s="91"/>
      <c r="F43" s="91"/>
      <c r="G43" s="4"/>
      <c r="H43" s="4"/>
      <c r="I43" s="88"/>
    </row>
    <row r="44" spans="1:9" x14ac:dyDescent="0.3">
      <c r="A44" s="87"/>
      <c r="B44" s="48" t="s">
        <v>219</v>
      </c>
      <c r="C44" s="4"/>
      <c r="D44" s="91"/>
      <c r="E44" s="91"/>
      <c r="F44" s="91"/>
      <c r="G44" s="101" t="s">
        <v>184</v>
      </c>
      <c r="H44" s="4"/>
      <c r="I44" s="88"/>
    </row>
    <row r="45" spans="1:9" x14ac:dyDescent="0.3">
      <c r="A45" s="87"/>
      <c r="B45" s="48" t="s">
        <v>11</v>
      </c>
      <c r="C45" s="4"/>
      <c r="D45" s="4"/>
      <c r="E45" s="4"/>
      <c r="F45" s="4"/>
      <c r="G45" s="101" t="s">
        <v>184</v>
      </c>
      <c r="H45" s="4"/>
      <c r="I45" s="88"/>
    </row>
    <row r="46" spans="1:9" x14ac:dyDescent="0.3">
      <c r="A46" s="96"/>
      <c r="B46" s="97"/>
      <c r="C46" s="98"/>
      <c r="D46" s="98"/>
      <c r="E46" s="98"/>
      <c r="F46" s="98"/>
      <c r="G46" s="98"/>
      <c r="H46" s="98"/>
      <c r="I46" s="99"/>
    </row>
  </sheetData>
  <protectedRanges>
    <protectedRange sqref="G32:H33 G28:H28 G36:H37 G40:G41 G44:G45 H38:H45 H21:H22 H25:H26" name="Range1"/>
    <protectedRange sqref="G25:G26 G21:G22" name="Range1_4"/>
  </protectedRanges>
  <dataConsolidate/>
  <mergeCells count="6">
    <mergeCell ref="A1:I1"/>
    <mergeCell ref="A3:I3"/>
    <mergeCell ref="B7:D7"/>
    <mergeCell ref="G28:H28"/>
    <mergeCell ref="G29:I29"/>
    <mergeCell ref="G5:H5"/>
  </mergeCells>
  <dataValidations count="3">
    <dataValidation allowBlank="1" showDropDown="1" showInputMessage="1" showErrorMessage="1" sqref="H7" xr:uid="{00000000-0002-0000-0100-000000000000}"/>
    <dataValidation type="list" allowBlank="1" showInputMessage="1" showErrorMessage="1" sqref="G7" xr:uid="{00000000-0002-0000-0100-000001000000}">
      <formula1>INDIRECT("Start_onderneming")</formula1>
    </dataValidation>
    <dataValidation type="list" allowBlank="1" showInputMessage="1" showErrorMessage="1" sqref="G36:G37 G32:G33 G44:G45 G40:G41" xr:uid="{00000000-0002-0000-0100-000002000000}">
      <formula1>"Ja, Nee"</formula1>
    </dataValidation>
  </dataValidations>
  <pageMargins left="0.7" right="0.7" top="0.75" bottom="0.75" header="0.3" footer="0.3"/>
  <pageSetup paperSize="9" scale="94" orientation="portrait" r:id="rId1"/>
  <headerFooter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3000000}">
          <x14:formula1>
            <xm:f>Hulpsheet!$A$307:$A$382</xm:f>
          </x14:formula1>
          <xm:sqref>G28:H28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4"/>
  <sheetViews>
    <sheetView tabSelected="1" topLeftCell="A16" zoomScaleNormal="100" workbookViewId="0">
      <selection activeCell="N28" sqref="N28"/>
    </sheetView>
  </sheetViews>
  <sheetFormatPr defaultColWidth="8.25" defaultRowHeight="14" x14ac:dyDescent="0.3"/>
  <cols>
    <col min="1" max="1" width="3.83203125" style="10" customWidth="1"/>
    <col min="2" max="2" width="22" style="10" customWidth="1"/>
    <col min="3" max="3" width="31.83203125" style="10" customWidth="1"/>
    <col min="4" max="4" width="11.25" style="10" bestFit="1" customWidth="1"/>
    <col min="5" max="5" width="3.58203125" style="10" customWidth="1"/>
    <col min="6" max="6" width="1.5" style="10" customWidth="1"/>
    <col min="7" max="7" width="10.58203125" style="10" bestFit="1" customWidth="1"/>
    <col min="8" max="9" width="8.25" style="10"/>
    <col min="10" max="10" width="8.25" style="10" customWidth="1"/>
    <col min="11" max="11" width="28.75" style="10" hidden="1" customWidth="1"/>
    <col min="12" max="12" width="8.25" style="10" hidden="1" customWidth="1"/>
    <col min="13" max="13" width="8.25" style="10" customWidth="1"/>
    <col min="14" max="16384" width="8.25" style="10"/>
  </cols>
  <sheetData>
    <row r="1" spans="1:12" ht="28" customHeight="1" x14ac:dyDescent="0.3">
      <c r="A1" s="212" t="s">
        <v>297</v>
      </c>
      <c r="B1" s="212"/>
      <c r="C1" s="212"/>
      <c r="D1" s="212"/>
      <c r="E1" s="212"/>
      <c r="F1" s="11"/>
    </row>
    <row r="2" spans="1:12" ht="15.75" customHeight="1" x14ac:dyDescent="0.3">
      <c r="A2" s="221" t="str">
        <f>Invulformulier!G5</f>
        <v>Naam B.V.</v>
      </c>
      <c r="B2" s="221"/>
      <c r="C2" s="221"/>
      <c r="D2" s="221"/>
      <c r="E2" s="221"/>
      <c r="F2" s="11"/>
    </row>
    <row r="3" spans="1:12" ht="15.75" customHeight="1" x14ac:dyDescent="0.3">
      <c r="A3" s="13"/>
      <c r="B3" s="13"/>
      <c r="C3" s="13"/>
      <c r="D3" s="13"/>
      <c r="E3" s="13"/>
      <c r="F3" s="11"/>
      <c r="K3" s="10" t="s">
        <v>221</v>
      </c>
      <c r="L3" s="10" t="s">
        <v>21</v>
      </c>
    </row>
    <row r="4" spans="1:12" s="12" customFormat="1" ht="18" customHeight="1" x14ac:dyDescent="0.3">
      <c r="A4" s="213" t="s">
        <v>197</v>
      </c>
      <c r="B4" s="214"/>
      <c r="C4" s="214"/>
      <c r="D4" s="214"/>
      <c r="E4" s="215"/>
      <c r="F4" s="11"/>
      <c r="K4" s="10" t="s">
        <v>222</v>
      </c>
      <c r="L4" s="10" t="s">
        <v>21</v>
      </c>
    </row>
    <row r="5" spans="1:12" ht="15.75" customHeight="1" x14ac:dyDescent="0.3">
      <c r="A5" s="106"/>
      <c r="B5" s="107"/>
      <c r="C5" s="107"/>
      <c r="D5" s="107"/>
      <c r="E5" s="108"/>
      <c r="F5" s="11"/>
      <c r="K5" s="10" t="s">
        <v>223</v>
      </c>
      <c r="L5" s="10" t="s">
        <v>25</v>
      </c>
    </row>
    <row r="6" spans="1:12" ht="15.75" customHeight="1" x14ac:dyDescent="0.3">
      <c r="A6" s="124" t="s">
        <v>286</v>
      </c>
      <c r="B6" s="110" t="s">
        <v>282</v>
      </c>
      <c r="C6" s="110" t="str">
        <f>Invulformulier!$G$7</f>
        <v>Voor 2015</v>
      </c>
      <c r="D6" s="107"/>
      <c r="E6" s="108"/>
      <c r="F6" s="11"/>
    </row>
    <row r="7" spans="1:12" ht="15.75" customHeight="1" x14ac:dyDescent="0.3">
      <c r="A7" s="109"/>
      <c r="B7" s="111" t="str">
        <f>IF(Formules!C35="Let op: Startende werkgever","Let op: Startende werkgever in "&amp;Hulpsheet!$B$2,IF(Formules!C35="Let op: Kleine startende werkgever","Let op: Kleine startende werkgever in "&amp;Hulpsheet!$B$2,""))</f>
        <v/>
      </c>
      <c r="C7" s="110"/>
      <c r="D7" s="107"/>
      <c r="E7" s="108"/>
      <c r="F7" s="11"/>
    </row>
    <row r="8" spans="1:12" ht="15.75" customHeight="1" x14ac:dyDescent="0.3">
      <c r="A8" s="124" t="s">
        <v>286</v>
      </c>
      <c r="B8" s="110" t="s">
        <v>283</v>
      </c>
      <c r="C8" s="122" t="str">
        <f>Invulformulier!G18</f>
        <v>Kleine werkgever</v>
      </c>
      <c r="D8" s="112"/>
      <c r="E8" s="113"/>
      <c r="F8" s="11"/>
      <c r="K8" s="10" t="s">
        <v>224</v>
      </c>
      <c r="L8" s="10" t="s">
        <v>25</v>
      </c>
    </row>
    <row r="9" spans="1:12" ht="15.75" customHeight="1" x14ac:dyDescent="0.3">
      <c r="A9" s="109"/>
      <c r="B9" s="111" t="str">
        <f>"Loonsom "&amp;Hulpsheet!$B$2-2</f>
        <v>Loonsom 2020</v>
      </c>
      <c r="C9" s="114">
        <f>Invulformulier!$G$10</f>
        <v>10</v>
      </c>
      <c r="D9" s="112"/>
      <c r="E9" s="113"/>
      <c r="F9" s="11"/>
      <c r="K9" s="10" t="s">
        <v>225</v>
      </c>
      <c r="L9" s="10" t="s">
        <v>37</v>
      </c>
    </row>
    <row r="10" spans="1:12" ht="15.75" customHeight="1" x14ac:dyDescent="0.3">
      <c r="A10" s="109"/>
      <c r="B10" s="111" t="str">
        <f>"Loonsom "&amp;Hulpsheet!$B$2-3</f>
        <v>Loonsom 2019</v>
      </c>
      <c r="C10" s="114">
        <f>Invulformulier!$G$11</f>
        <v>10</v>
      </c>
      <c r="D10" s="112"/>
      <c r="E10" s="113"/>
      <c r="F10" s="11"/>
      <c r="K10" s="12" t="s">
        <v>226</v>
      </c>
      <c r="L10" s="10" t="s">
        <v>37</v>
      </c>
    </row>
    <row r="11" spans="1:12" ht="15.75" customHeight="1" x14ac:dyDescent="0.3">
      <c r="A11" s="124" t="s">
        <v>286</v>
      </c>
      <c r="B11" s="115" t="str">
        <f>"Uitkeringslasten "&amp;Hulpsheet!$B$2-2&amp;":"</f>
        <v>Uitkeringslasten 2020:</v>
      </c>
      <c r="C11" s="115"/>
      <c r="D11" s="112"/>
      <c r="E11" s="113"/>
      <c r="F11" s="11"/>
      <c r="K11" s="10" t="s">
        <v>227</v>
      </c>
      <c r="L11" s="10" t="s">
        <v>85</v>
      </c>
    </row>
    <row r="12" spans="1:12" ht="15.75" customHeight="1" x14ac:dyDescent="0.3">
      <c r="A12" s="109"/>
      <c r="B12" s="116" t="s">
        <v>219</v>
      </c>
      <c r="C12" s="117">
        <f>Invulformulier!$G$25</f>
        <v>0</v>
      </c>
      <c r="D12" s="112"/>
      <c r="E12" s="113"/>
      <c r="F12" s="11"/>
      <c r="K12" s="10" t="s">
        <v>228</v>
      </c>
      <c r="L12" s="10" t="s">
        <v>85</v>
      </c>
    </row>
    <row r="13" spans="1:12" ht="15.75" customHeight="1" x14ac:dyDescent="0.3">
      <c r="A13" s="109"/>
      <c r="B13" s="116" t="s">
        <v>11</v>
      </c>
      <c r="C13" s="117">
        <f>Invulformulier!$G$26</f>
        <v>0</v>
      </c>
      <c r="D13" s="112"/>
      <c r="E13" s="113"/>
      <c r="F13" s="11"/>
      <c r="K13" s="10" t="s">
        <v>229</v>
      </c>
      <c r="L13" s="10" t="s">
        <v>119</v>
      </c>
    </row>
    <row r="14" spans="1:12" ht="15.75" customHeight="1" x14ac:dyDescent="0.3">
      <c r="A14" s="124" t="s">
        <v>286</v>
      </c>
      <c r="B14" s="115" t="str">
        <f>"Uitkeringslasten "&amp;Hulpsheet!$B$2-3&amp;":"</f>
        <v>Uitkeringslasten 2019:</v>
      </c>
      <c r="C14" s="115"/>
      <c r="D14" s="112"/>
      <c r="E14" s="113"/>
      <c r="F14" s="11"/>
      <c r="K14" s="10" t="s">
        <v>230</v>
      </c>
      <c r="L14" s="10" t="s">
        <v>119</v>
      </c>
    </row>
    <row r="15" spans="1:12" ht="15.75" customHeight="1" x14ac:dyDescent="0.3">
      <c r="A15" s="109"/>
      <c r="B15" s="116" t="s">
        <v>219</v>
      </c>
      <c r="C15" s="117">
        <f>Invulformulier!$G$21</f>
        <v>0</v>
      </c>
      <c r="D15" s="112"/>
      <c r="E15" s="113"/>
      <c r="F15" s="11"/>
      <c r="K15" s="10" t="s">
        <v>231</v>
      </c>
      <c r="L15" s="10" t="s">
        <v>119</v>
      </c>
    </row>
    <row r="16" spans="1:12" ht="15.75" customHeight="1" x14ac:dyDescent="0.3">
      <c r="A16" s="109"/>
      <c r="B16" s="116" t="s">
        <v>11</v>
      </c>
      <c r="C16" s="117">
        <f>Invulformulier!$G$22</f>
        <v>0</v>
      </c>
      <c r="D16" s="112"/>
      <c r="E16" s="113"/>
      <c r="F16" s="11"/>
      <c r="K16" s="10" t="s">
        <v>232</v>
      </c>
      <c r="L16" s="10" t="s">
        <v>119</v>
      </c>
    </row>
    <row r="17" spans="1:12" ht="15.75" customHeight="1" x14ac:dyDescent="0.3">
      <c r="A17" s="124" t="s">
        <v>286</v>
      </c>
      <c r="B17" s="115" t="str">
        <f>IF(_xlfn.IFNA(VLOOKUP(Invulformulier!$G$28,'Premies 2021 en 2022'!$K$3:$L$21,1,FALSE),"")=Invulformulier!$G$28,VLOOKUP(Invulformulier!$G$28,'Premies 2021 en 2022'!$K$3:$L$21,2,FALSE),Invulformulier!$G$28)</f>
        <v>Sector 52</v>
      </c>
      <c r="C17" s="123" t="str">
        <f>Invulformulier!$G$29</f>
        <v>Uitzendbedrijven IB/IIB</v>
      </c>
      <c r="D17" s="112"/>
      <c r="E17" s="113"/>
      <c r="F17" s="11"/>
      <c r="K17" s="10" t="s">
        <v>233</v>
      </c>
      <c r="L17" s="10" t="s">
        <v>119</v>
      </c>
    </row>
    <row r="18" spans="1:12" ht="15.75" customHeight="1" x14ac:dyDescent="0.3">
      <c r="A18" s="109"/>
      <c r="B18" s="115"/>
      <c r="C18" s="115"/>
      <c r="D18" s="112"/>
      <c r="E18" s="113"/>
      <c r="F18" s="11"/>
      <c r="K18" s="10" t="s">
        <v>234</v>
      </c>
      <c r="L18" s="10" t="s">
        <v>123</v>
      </c>
    </row>
    <row r="19" spans="1:12" ht="15.75" customHeight="1" x14ac:dyDescent="0.3">
      <c r="A19" s="118"/>
      <c r="B19" s="119"/>
      <c r="C19" s="119"/>
      <c r="D19" s="120"/>
      <c r="E19" s="121"/>
      <c r="F19" s="11"/>
      <c r="K19" s="10" t="s">
        <v>235</v>
      </c>
      <c r="L19" s="10" t="s">
        <v>123</v>
      </c>
    </row>
    <row r="20" spans="1:12" x14ac:dyDescent="0.3">
      <c r="A20" s="3"/>
      <c r="B20" s="3"/>
      <c r="C20" s="3"/>
      <c r="D20" s="3"/>
      <c r="E20" s="3"/>
      <c r="K20" s="10" t="s">
        <v>236</v>
      </c>
      <c r="L20" s="10" t="s">
        <v>127</v>
      </c>
    </row>
    <row r="21" spans="1:12" s="12" customFormat="1" ht="18" customHeight="1" x14ac:dyDescent="0.3">
      <c r="A21" s="213" t="str">
        <f>"Premies werknemersverzekeringen "&amp;Hulpsheet!$B$2</f>
        <v>Premies werknemersverzekeringen 2022</v>
      </c>
      <c r="B21" s="214"/>
      <c r="C21" s="214"/>
      <c r="D21" s="214"/>
      <c r="E21" s="215"/>
      <c r="K21" s="10" t="s">
        <v>237</v>
      </c>
      <c r="L21" s="10" t="s">
        <v>127</v>
      </c>
    </row>
    <row r="22" spans="1:12" ht="15.5" x14ac:dyDescent="0.3">
      <c r="A22" s="125"/>
      <c r="B22" s="126"/>
      <c r="C22" s="126"/>
      <c r="D22" s="126"/>
      <c r="E22" s="127"/>
      <c r="K22" s="12"/>
      <c r="L22" s="12"/>
    </row>
    <row r="23" spans="1:12" ht="15.5" x14ac:dyDescent="0.3">
      <c r="A23" s="125"/>
      <c r="B23" s="128" t="s">
        <v>301</v>
      </c>
      <c r="C23" s="128"/>
      <c r="D23" s="110"/>
      <c r="E23" s="127"/>
    </row>
    <row r="24" spans="1:12" ht="15.5" x14ac:dyDescent="0.3">
      <c r="A24" s="125"/>
      <c r="B24" s="110" t="s">
        <v>299</v>
      </c>
      <c r="C24" s="110"/>
      <c r="D24" s="129">
        <f>'Premies en parameters'!$E$44</f>
        <v>7.6999999999999999E-2</v>
      </c>
      <c r="E24" s="127"/>
    </row>
    <row r="25" spans="1:12" ht="15.5" x14ac:dyDescent="0.3">
      <c r="A25" s="125"/>
      <c r="B25" s="130" t="s">
        <v>300</v>
      </c>
      <c r="C25" s="110"/>
      <c r="D25" s="129">
        <f>'Premies en parameters'!$E$45</f>
        <v>2.7E-2</v>
      </c>
      <c r="E25" s="127"/>
    </row>
    <row r="26" spans="1:12" ht="15.5" x14ac:dyDescent="0.3">
      <c r="A26" s="125"/>
      <c r="B26" s="110"/>
      <c r="C26" s="110"/>
      <c r="D26" s="129"/>
      <c r="E26" s="127"/>
    </row>
    <row r="27" spans="1:12" ht="15.5" x14ac:dyDescent="0.3">
      <c r="A27" s="125"/>
      <c r="B27" s="128" t="s">
        <v>203</v>
      </c>
      <c r="C27" s="128"/>
      <c r="D27" s="129"/>
      <c r="E27" s="127"/>
    </row>
    <row r="28" spans="1:12" ht="15.5" x14ac:dyDescent="0.3">
      <c r="A28" s="125"/>
      <c r="B28" s="110" t="s">
        <v>295</v>
      </c>
      <c r="C28" s="110"/>
      <c r="D28" s="129">
        <f>IF(Invulformulier!G10="","vul loonsom 2020 in",IF(Invulformulier!G10&gt;Hulpsheet!C27,Hulpsheet!J36,0))</f>
        <v>0</v>
      </c>
      <c r="E28" s="127"/>
    </row>
    <row r="29" spans="1:12" ht="15.5" x14ac:dyDescent="0.3">
      <c r="A29" s="125"/>
      <c r="B29" s="110" t="s">
        <v>296</v>
      </c>
      <c r="C29" s="110"/>
      <c r="D29" s="129">
        <f>IF(Invulformulier!G10="","vul loonsom 2020 in",IF(Invulformulier!G10&lt;=Hulpsheet!C27,Hulpsheet!J37,0))</f>
        <v>5.4899999999999997E-2</v>
      </c>
      <c r="E29" s="127"/>
    </row>
    <row r="30" spans="1:12" ht="15.5" x14ac:dyDescent="0.3">
      <c r="A30" s="125"/>
      <c r="B30" s="110" t="s">
        <v>198</v>
      </c>
      <c r="C30" s="110"/>
      <c r="D30" s="129">
        <f>'Premies en parameters'!$E$49</f>
        <v>5.0000000000000001E-3</v>
      </c>
      <c r="E30" s="127"/>
    </row>
    <row r="31" spans="1:12" ht="15.5" x14ac:dyDescent="0.3">
      <c r="A31" s="125"/>
      <c r="B31" s="110"/>
      <c r="C31" s="110"/>
      <c r="D31" s="129"/>
      <c r="E31" s="127"/>
    </row>
    <row r="32" spans="1:12" x14ac:dyDescent="0.3">
      <c r="A32" s="87"/>
      <c r="B32" s="128" t="s">
        <v>20</v>
      </c>
      <c r="C32" s="128"/>
      <c r="D32" s="131">
        <f>+'Premies en parameters'!E50</f>
        <v>6.7500000000000004E-2</v>
      </c>
      <c r="E32" s="88"/>
    </row>
    <row r="33" spans="1:12" x14ac:dyDescent="0.3">
      <c r="A33" s="87"/>
      <c r="B33" s="128"/>
      <c r="C33" s="128"/>
      <c r="D33" s="131"/>
      <c r="E33" s="88"/>
    </row>
    <row r="34" spans="1:12" ht="15.5" x14ac:dyDescent="0.3">
      <c r="A34" s="125"/>
      <c r="B34" s="128" t="s">
        <v>199</v>
      </c>
      <c r="C34" s="128"/>
      <c r="D34" s="129">
        <f>SUM(D35:D37)</f>
        <v>8.0199999999999994E-2</v>
      </c>
      <c r="E34" s="127"/>
    </row>
    <row r="35" spans="1:12" ht="14.5" x14ac:dyDescent="0.35">
      <c r="A35" s="87"/>
      <c r="B35" s="4" t="s">
        <v>200</v>
      </c>
      <c r="C35" s="4"/>
      <c r="D35" s="132">
        <f>IF(Invulformulier!$G$44="Ja",0,IF(Invulformulier!$G$18="Kleine werkgever",Formules!C27,IF(Invulformulier!$G$18="Middelgrote werkgever",Formules!C32,Formules!C37)))</f>
        <v>2.0799999999999999E-2</v>
      </c>
      <c r="E35" s="88"/>
    </row>
    <row r="36" spans="1:12" ht="14.5" x14ac:dyDescent="0.35">
      <c r="A36" s="87"/>
      <c r="B36" s="4" t="s">
        <v>201</v>
      </c>
      <c r="C36" s="4"/>
      <c r="D36" s="132">
        <f>IF(Invulformulier!$G$45="Ja",0,IF(Invulformulier!$G$18="Kleine werkgever",Formules!C28,IF(Invulformulier!$G$18="Middelgrote werkgever",Formules!C33,Formules!C38)))</f>
        <v>5.9400000000000001E-2</v>
      </c>
      <c r="E36" s="88"/>
    </row>
    <row r="37" spans="1:12" ht="15.5" x14ac:dyDescent="0.3">
      <c r="A37" s="125"/>
      <c r="B37" s="130"/>
      <c r="C37" s="110"/>
      <c r="D37" s="133"/>
      <c r="E37" s="127"/>
    </row>
    <row r="38" spans="1:12" x14ac:dyDescent="0.3">
      <c r="A38" s="87"/>
      <c r="B38" s="4"/>
      <c r="C38" s="4"/>
      <c r="D38" s="131"/>
      <c r="E38" s="88"/>
    </row>
    <row r="39" spans="1:12" x14ac:dyDescent="0.3">
      <c r="A39" s="87"/>
      <c r="B39" s="25" t="s">
        <v>278</v>
      </c>
      <c r="C39" s="25"/>
      <c r="D39" s="134">
        <f>+D24+D29+D30+D34+D32</f>
        <v>0.28459999999999996</v>
      </c>
      <c r="E39" s="88"/>
    </row>
    <row r="40" spans="1:12" x14ac:dyDescent="0.3">
      <c r="A40" s="87"/>
      <c r="B40" s="25" t="s">
        <v>277</v>
      </c>
      <c r="C40" s="25"/>
      <c r="D40" s="134">
        <f>+D25+D28+D29+D30+D32+D34</f>
        <v>0.2346</v>
      </c>
      <c r="E40" s="88"/>
    </row>
    <row r="41" spans="1:12" x14ac:dyDescent="0.3">
      <c r="A41" s="96"/>
      <c r="B41" s="104"/>
      <c r="C41" s="104"/>
      <c r="D41" s="105"/>
      <c r="E41" s="99"/>
    </row>
    <row r="42" spans="1:12" x14ac:dyDescent="0.3">
      <c r="A42" s="3"/>
      <c r="B42" s="75"/>
      <c r="C42" s="75"/>
      <c r="D42" s="76"/>
      <c r="E42" s="3"/>
    </row>
    <row r="43" spans="1:12" s="12" customFormat="1" ht="18" customHeight="1" x14ac:dyDescent="0.3">
      <c r="A43" s="213" t="str">
        <f>"Premies werknemersverzekeringen "&amp;Hulpsheet!$B$2-1</f>
        <v>Premies werknemersverzekeringen 2021</v>
      </c>
      <c r="B43" s="214"/>
      <c r="C43" s="214"/>
      <c r="D43" s="214"/>
      <c r="E43" s="215"/>
      <c r="K43" s="10"/>
      <c r="L43" s="10"/>
    </row>
    <row r="44" spans="1:12" ht="15.5" x14ac:dyDescent="0.3">
      <c r="A44" s="125"/>
      <c r="B44" s="126"/>
      <c r="C44" s="126"/>
      <c r="D44" s="126"/>
      <c r="E44" s="127"/>
      <c r="K44" s="12"/>
      <c r="L44" s="12"/>
    </row>
    <row r="45" spans="1:12" ht="15.5" x14ac:dyDescent="0.3">
      <c r="A45" s="125"/>
      <c r="B45" s="128" t="s">
        <v>14</v>
      </c>
      <c r="C45" s="128"/>
      <c r="D45" s="110"/>
      <c r="E45" s="127"/>
    </row>
    <row r="46" spans="1:12" ht="15.5" x14ac:dyDescent="0.3">
      <c r="A46" s="125"/>
      <c r="B46" s="110" t="s">
        <v>275</v>
      </c>
      <c r="C46" s="110"/>
      <c r="D46" s="129">
        <f>'Premies en parameters'!$E$44</f>
        <v>7.6999999999999999E-2</v>
      </c>
      <c r="E46" s="127"/>
    </row>
    <row r="47" spans="1:12" ht="15.5" x14ac:dyDescent="0.3">
      <c r="A47" s="125"/>
      <c r="B47" s="110" t="s">
        <v>276</v>
      </c>
      <c r="C47" s="110"/>
      <c r="D47" s="129">
        <f>'Premies en parameters'!$E$45</f>
        <v>2.7E-2</v>
      </c>
      <c r="E47" s="127"/>
    </row>
    <row r="48" spans="1:12" ht="15.5" x14ac:dyDescent="0.3">
      <c r="A48" s="125"/>
      <c r="B48" s="110"/>
      <c r="C48" s="110"/>
      <c r="D48" s="129"/>
      <c r="E48" s="127"/>
    </row>
    <row r="49" spans="1:5" ht="15.5" x14ac:dyDescent="0.3">
      <c r="A49" s="125"/>
      <c r="B49" s="128" t="s">
        <v>203</v>
      </c>
      <c r="C49" s="128"/>
      <c r="D49" s="129"/>
      <c r="E49" s="127"/>
    </row>
    <row r="50" spans="1:5" ht="15.5" x14ac:dyDescent="0.3">
      <c r="A50" s="125"/>
      <c r="B50" s="110" t="s">
        <v>204</v>
      </c>
      <c r="C50" s="110"/>
      <c r="D50" s="129">
        <f>'Premies en parameters'!$D$46</f>
        <v>7.0300000000000001E-2</v>
      </c>
      <c r="E50" s="127"/>
    </row>
    <row r="51" spans="1:5" ht="15.5" x14ac:dyDescent="0.3">
      <c r="A51" s="125"/>
      <c r="B51" s="110" t="s">
        <v>198</v>
      </c>
      <c r="C51" s="110"/>
      <c r="D51" s="129">
        <f>'Premies en parameters'!$D$49</f>
        <v>5.0000000000000001E-3</v>
      </c>
      <c r="E51" s="127"/>
    </row>
    <row r="52" spans="1:5" ht="15.5" x14ac:dyDescent="0.3">
      <c r="A52" s="125"/>
      <c r="B52" s="110"/>
      <c r="C52" s="110"/>
      <c r="D52" s="129"/>
      <c r="E52" s="127"/>
    </row>
    <row r="53" spans="1:5" x14ac:dyDescent="0.3">
      <c r="A53" s="87"/>
      <c r="B53" s="128" t="s">
        <v>20</v>
      </c>
      <c r="C53" s="128"/>
      <c r="D53" s="131">
        <f>'Premies en parameters'!$D$50</f>
        <v>7.0000000000000007E-2</v>
      </c>
      <c r="E53" s="88"/>
    </row>
    <row r="54" spans="1:5" x14ac:dyDescent="0.3">
      <c r="A54" s="87"/>
      <c r="B54" s="128"/>
      <c r="C54" s="128"/>
      <c r="D54" s="131"/>
      <c r="E54" s="88"/>
    </row>
    <row r="55" spans="1:5" ht="15.5" x14ac:dyDescent="0.3">
      <c r="A55" s="125"/>
      <c r="B55" s="128" t="s">
        <v>199</v>
      </c>
      <c r="C55" s="128"/>
      <c r="D55" s="129">
        <f>SUM(D56:D57)</f>
        <v>6.9399999999999989E-2</v>
      </c>
      <c r="E55" s="127"/>
    </row>
    <row r="56" spans="1:5" ht="14.5" x14ac:dyDescent="0.35">
      <c r="A56" s="87"/>
      <c r="B56" s="4" t="s">
        <v>200</v>
      </c>
      <c r="C56" s="4"/>
      <c r="D56" s="132">
        <f>IF(Invulformulier!$G$40="Ja",0,IF(Invulformulier!$G$17="Kleine werkgever",Formules!C51,IF(Invulformulier!$G$17="Middelgrote werkgever",Formules!C56,Formules!C61)))</f>
        <v>1.6199999999999999E-2</v>
      </c>
      <c r="E56" s="88"/>
    </row>
    <row r="57" spans="1:5" ht="14.5" x14ac:dyDescent="0.35">
      <c r="A57" s="87"/>
      <c r="B57" s="4" t="s">
        <v>201</v>
      </c>
      <c r="C57" s="4"/>
      <c r="D57" s="132">
        <f>IF(Invulformulier!$G$41="Ja",0,IF(Invulformulier!$G$17="Kleine werkgever",Formules!C52,IF(Invulformulier!$G$17="Middelgrote werkgever",Formules!C57,Formules!C62)))</f>
        <v>5.3199999999999997E-2</v>
      </c>
      <c r="E57" s="88"/>
    </row>
    <row r="58" spans="1:5" ht="14.5" x14ac:dyDescent="0.35">
      <c r="A58" s="87"/>
      <c r="B58" s="135" t="str">
        <f>IF(AND(Formules!F4="Ja",OR(Invulformulier!G17="Middelgrote werkgever",Invulformulier!G17="Grote werkgever")),"LET OP: terugkeerpremie ZW van toepassing","")</f>
        <v/>
      </c>
      <c r="C58" s="4"/>
      <c r="D58" s="132"/>
      <c r="E58" s="88"/>
    </row>
    <row r="59" spans="1:5" x14ac:dyDescent="0.3">
      <c r="A59" s="87"/>
      <c r="B59" s="4"/>
      <c r="C59" s="4"/>
      <c r="D59" s="131"/>
      <c r="E59" s="88"/>
    </row>
    <row r="60" spans="1:5" x14ac:dyDescent="0.3">
      <c r="A60" s="87"/>
      <c r="B60" s="75" t="s">
        <v>202</v>
      </c>
      <c r="C60" s="75"/>
      <c r="D60" s="76">
        <f>SUM(D45:D55)</f>
        <v>0.31869999999999998</v>
      </c>
      <c r="E60" s="88"/>
    </row>
    <row r="61" spans="1:5" x14ac:dyDescent="0.3">
      <c r="A61" s="96"/>
      <c r="B61" s="104"/>
      <c r="C61" s="104"/>
      <c r="D61" s="105"/>
      <c r="E61" s="99"/>
    </row>
    <row r="62" spans="1:5" x14ac:dyDescent="0.3">
      <c r="A62" s="1"/>
      <c r="B62" s="1"/>
      <c r="C62" s="1"/>
      <c r="D62" s="1"/>
      <c r="E62" s="1"/>
    </row>
    <row r="63" spans="1:5" ht="78.75" customHeight="1" x14ac:dyDescent="0.3">
      <c r="A63" s="3"/>
      <c r="B63" s="220" t="s">
        <v>298</v>
      </c>
      <c r="C63" s="220"/>
      <c r="D63" s="220"/>
      <c r="E63" s="3"/>
    </row>
    <row r="64" spans="1:5" x14ac:dyDescent="0.3">
      <c r="A64" s="1"/>
      <c r="B64" s="1"/>
      <c r="C64" s="1"/>
      <c r="D64" s="1"/>
      <c r="E64" s="1"/>
    </row>
  </sheetData>
  <sheetProtection algorithmName="SHA-512" hashValue="wm6gb2FnncabDTe6hCk4g7Ao1pvweGRB8Ul/L2ma3lXl7BXcxGwwf34E/1wCTKgv5T+I/L0zszYADAfmRUAsSQ==" saltValue="/WDaYsW9pwcNO5mQKKrjYw==" spinCount="100000" sheet="1" objects="1" scenarios="1"/>
  <mergeCells count="6">
    <mergeCell ref="B63:D63"/>
    <mergeCell ref="A1:E1"/>
    <mergeCell ref="A4:E4"/>
    <mergeCell ref="A43:E43"/>
    <mergeCell ref="A21:E21"/>
    <mergeCell ref="A2:E2"/>
  </mergeCells>
  <conditionalFormatting sqref="D28">
    <cfRule type="expression" dxfId="84" priority="2">
      <formula>(D28=0)</formula>
    </cfRule>
  </conditionalFormatting>
  <conditionalFormatting sqref="D29">
    <cfRule type="expression" dxfId="83" priority="1">
      <formula>(D29=0)</formula>
    </cfRule>
  </conditionalFormatting>
  <pageMargins left="0.7" right="0.7" top="0.75" bottom="0.75" header="0.3" footer="0.3"/>
  <pageSetup paperSize="9" scale="79" orientation="portrait" r:id="rId1"/>
  <headerFooter>
    <oddHeader>&amp;R&amp;G</oddHeader>
  </headerFooter>
  <ignoredErrors>
    <ignoredError sqref="D36" evalError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4"/>
  <sheetViews>
    <sheetView topLeftCell="A13" zoomScaleNormal="100" workbookViewId="0">
      <selection activeCell="C50" sqref="C50"/>
    </sheetView>
  </sheetViews>
  <sheetFormatPr defaultColWidth="9" defaultRowHeight="14" x14ac:dyDescent="0.3"/>
  <cols>
    <col min="1" max="1" width="3.75" style="1" customWidth="1"/>
    <col min="2" max="2" width="29.83203125" style="1" customWidth="1"/>
    <col min="3" max="3" width="20.58203125" style="1" customWidth="1"/>
    <col min="4" max="4" width="3.75" style="1" customWidth="1"/>
    <col min="5" max="5" width="20.58203125" style="1" customWidth="1"/>
    <col min="6" max="6" width="55.58203125" style="1" customWidth="1"/>
    <col min="7" max="16384" width="9" style="1"/>
  </cols>
  <sheetData>
    <row r="1" spans="1:6" ht="28" customHeight="1" x14ac:dyDescent="0.3">
      <c r="A1" s="212" t="s">
        <v>177</v>
      </c>
      <c r="B1" s="212"/>
      <c r="C1" s="212"/>
      <c r="D1" s="212"/>
      <c r="E1" s="212"/>
      <c r="F1" s="212"/>
    </row>
    <row r="3" spans="1:6" x14ac:dyDescent="0.3">
      <c r="A3" s="14" t="s">
        <v>182</v>
      </c>
      <c r="B3" s="15"/>
      <c r="C3" s="16"/>
      <c r="F3" s="17" t="str">
        <f>IF(OR(Invulformulier!$G$28="Sector 52",Invulformulier!$G$28="Sector 52 - Detachering",Invulformulier!$G$28="Sector 52 - Intermediaire diensten",Invulformulier!$G$28="Sector 52 - IA",Invulformulier!$G$28="Sector 52 - IIA",Invulformulier!$G$28="Sector 52 - IB/IIB"),"Ja","Nee")</f>
        <v>Ja</v>
      </c>
    </row>
    <row r="4" spans="1:6" x14ac:dyDescent="0.3">
      <c r="A4" s="14" t="str">
        <f>"Is de terugkeerpremie voor de ZW van toepassing in "&amp;Hulpsheet!$B$2-1&amp;"?"</f>
        <v>Is de terugkeerpremie voor de ZW van toepassing in 2021?</v>
      </c>
      <c r="B4" s="15"/>
      <c r="C4" s="16"/>
      <c r="F4" s="18" t="str">
        <f>IF(AND(OR(Invulformulier!$G$33="Ja",Invulformulier!$G$37="Ja"),Invulformulier!$G$41="Nee"),"Ja","Nee")</f>
        <v>Nee</v>
      </c>
    </row>
    <row r="5" spans="1:6" x14ac:dyDescent="0.3">
      <c r="A5" s="14" t="str">
        <f>"Is de terugkeerpremie voor de ZW van toepassing in "&amp;Hulpsheet!$B$2&amp;"?"</f>
        <v>Is de terugkeerpremie voor de ZW van toepassing in 2022?</v>
      </c>
      <c r="B5" s="15"/>
      <c r="C5" s="16"/>
      <c r="F5" s="18" t="str">
        <f>IF(AND(OR(Invulformulier!$G$37="Ja",Invulformulier!$G$41="Ja"),Invulformulier!$G$45="Nee"),"Ja","Nee")</f>
        <v>Nee</v>
      </c>
    </row>
    <row r="6" spans="1:6" x14ac:dyDescent="0.3">
      <c r="A6" s="14" t="s">
        <v>194</v>
      </c>
      <c r="B6" s="15"/>
      <c r="C6" s="19"/>
      <c r="F6" s="18" t="str">
        <f>IF(OR(Invulformulier!$G$7="voor "&amp;Hulpsheet!$B$2-7,Invulformulier!$G$7=Hulpsheet!$B$2-7),"Nee",IF(Invulformulier!$G$7=Hulpsheet!$B$2-6,"Ja in "&amp;Hulpsheet!$B$2-1,"Ja"))</f>
        <v>Nee</v>
      </c>
    </row>
    <row r="7" spans="1:6" x14ac:dyDescent="0.3">
      <c r="A7" s="14"/>
      <c r="B7" s="15"/>
      <c r="C7" s="15"/>
      <c r="F7" s="18"/>
    </row>
    <row r="8" spans="1:6" ht="18" customHeight="1" x14ac:dyDescent="0.3">
      <c r="A8" s="213" t="s">
        <v>187</v>
      </c>
      <c r="B8" s="214"/>
      <c r="C8" s="214"/>
      <c r="D8" s="214"/>
      <c r="E8" s="214"/>
      <c r="F8" s="215"/>
    </row>
    <row r="9" spans="1:6" x14ac:dyDescent="0.3">
      <c r="A9" s="198"/>
      <c r="B9" s="90"/>
      <c r="C9" s="90"/>
      <c r="D9" s="90"/>
      <c r="E9" s="90"/>
      <c r="F9" s="199"/>
    </row>
    <row r="10" spans="1:6" x14ac:dyDescent="0.3">
      <c r="A10" s="87"/>
      <c r="B10" s="25" t="s">
        <v>188</v>
      </c>
      <c r="C10" s="23" t="s">
        <v>178</v>
      </c>
      <c r="D10" s="4"/>
      <c r="E10" s="4"/>
      <c r="F10" s="88"/>
    </row>
    <row r="11" spans="1:6" x14ac:dyDescent="0.3">
      <c r="A11" s="87"/>
      <c r="B11" s="4"/>
      <c r="C11" s="4"/>
      <c r="D11" s="4"/>
      <c r="E11" s="4"/>
      <c r="F11" s="88"/>
    </row>
    <row r="12" spans="1:6" x14ac:dyDescent="0.3">
      <c r="A12" s="87"/>
      <c r="B12" s="25" t="s">
        <v>189</v>
      </c>
      <c r="C12" s="203" t="s">
        <v>190</v>
      </c>
      <c r="D12" s="4"/>
      <c r="E12" s="4"/>
      <c r="F12" s="88"/>
    </row>
    <row r="13" spans="1:6" ht="14.5" x14ac:dyDescent="0.35">
      <c r="A13" s="87"/>
      <c r="B13" s="28" t="s">
        <v>191</v>
      </c>
      <c r="C13" s="224" t="s">
        <v>279</v>
      </c>
      <c r="D13" s="224"/>
      <c r="E13" s="224"/>
      <c r="F13" s="225"/>
    </row>
    <row r="14" spans="1:6" ht="14.5" x14ac:dyDescent="0.35">
      <c r="A14" s="87"/>
      <c r="B14" s="4"/>
      <c r="C14" s="224" t="s">
        <v>280</v>
      </c>
      <c r="D14" s="224"/>
      <c r="E14" s="224"/>
      <c r="F14" s="225"/>
    </row>
    <row r="15" spans="1:6" ht="14.5" x14ac:dyDescent="0.35">
      <c r="A15" s="87"/>
      <c r="B15" s="4"/>
      <c r="C15" s="224" t="s">
        <v>179</v>
      </c>
      <c r="D15" s="224"/>
      <c r="E15" s="224"/>
      <c r="F15" s="225"/>
    </row>
    <row r="16" spans="1:6" x14ac:dyDescent="0.3">
      <c r="A16" s="87"/>
      <c r="B16" s="4"/>
      <c r="C16" s="200"/>
      <c r="D16" s="4"/>
      <c r="E16" s="4"/>
      <c r="F16" s="88"/>
    </row>
    <row r="17" spans="1:6" x14ac:dyDescent="0.3">
      <c r="A17" s="87"/>
      <c r="B17" s="25" t="s">
        <v>192</v>
      </c>
      <c r="C17" s="203" t="s">
        <v>193</v>
      </c>
      <c r="D17" s="4"/>
      <c r="E17" s="4"/>
      <c r="F17" s="88"/>
    </row>
    <row r="18" spans="1:6" ht="14.5" x14ac:dyDescent="0.35">
      <c r="A18" s="87"/>
      <c r="B18" s="28" t="s">
        <v>191</v>
      </c>
      <c r="C18" s="222" t="s">
        <v>180</v>
      </c>
      <c r="D18" s="222"/>
      <c r="E18" s="222"/>
      <c r="F18" s="223"/>
    </row>
    <row r="19" spans="1:6" ht="14.5" x14ac:dyDescent="0.35">
      <c r="A19" s="87"/>
      <c r="B19" s="4"/>
      <c r="C19" s="224" t="s">
        <v>287</v>
      </c>
      <c r="D19" s="224"/>
      <c r="E19" s="224"/>
      <c r="F19" s="225"/>
    </row>
    <row r="20" spans="1:6" ht="14.5" x14ac:dyDescent="0.35">
      <c r="A20" s="87"/>
      <c r="B20" s="4"/>
      <c r="C20" s="226" t="s">
        <v>181</v>
      </c>
      <c r="D20" s="226"/>
      <c r="E20" s="226"/>
      <c r="F20" s="227"/>
    </row>
    <row r="21" spans="1:6" x14ac:dyDescent="0.3">
      <c r="A21" s="96"/>
      <c r="B21" s="98"/>
      <c r="C21" s="201"/>
      <c r="D21" s="98"/>
      <c r="E21" s="202"/>
      <c r="F21" s="99"/>
    </row>
    <row r="22" spans="1:6" x14ac:dyDescent="0.3">
      <c r="A22" s="14"/>
      <c r="B22" s="15"/>
      <c r="C22" s="15"/>
      <c r="F22" s="18"/>
    </row>
    <row r="23" spans="1:6" ht="18" customHeight="1" x14ac:dyDescent="0.3">
      <c r="A23" s="213" t="str">
        <f>"Whk-premie "&amp;Hulpsheet!$B$2</f>
        <v>Whk-premie 2022</v>
      </c>
      <c r="B23" s="214"/>
      <c r="C23" s="214"/>
      <c r="D23" s="214"/>
      <c r="E23" s="214"/>
      <c r="F23" s="215"/>
    </row>
    <row r="24" spans="1:6" x14ac:dyDescent="0.3">
      <c r="A24" s="194"/>
      <c r="B24" s="21"/>
      <c r="C24" s="21"/>
      <c r="D24" s="21"/>
      <c r="E24" s="21"/>
      <c r="F24" s="195"/>
    </row>
    <row r="25" spans="1:6" ht="14.5" x14ac:dyDescent="0.35">
      <c r="A25" s="82"/>
      <c r="B25" s="25" t="s">
        <v>188</v>
      </c>
      <c r="C25" s="22" t="str">
        <f>IF(Invulformulier!$G$18="Grote werkgever","N.v.t.","")</f>
        <v/>
      </c>
      <c r="D25" s="3"/>
      <c r="E25" s="3"/>
      <c r="F25" s="83"/>
    </row>
    <row r="26" spans="1:6" ht="14.5" x14ac:dyDescent="0.35">
      <c r="A26" s="82"/>
      <c r="B26" s="22"/>
      <c r="C26" s="49"/>
      <c r="D26" s="3"/>
      <c r="E26" s="3"/>
      <c r="F26" s="83"/>
    </row>
    <row r="27" spans="1:6" x14ac:dyDescent="0.3">
      <c r="A27" s="82"/>
      <c r="B27" s="4" t="s">
        <v>219</v>
      </c>
      <c r="C27" s="26">
        <f>IF($C$25="N.v.t.","-",VLOOKUP('Premies 2021 en 2022'!$B$17,WGA_premies[],VLOOKUP(VALUE(RIGHT(A23,4)),Jaartal_kolomindex[],2,FALSE),FALSE))</f>
        <v>2.0799999999999999E-2</v>
      </c>
      <c r="D27" s="4"/>
      <c r="E27" s="4"/>
      <c r="F27" s="83"/>
    </row>
    <row r="28" spans="1:6" x14ac:dyDescent="0.3">
      <c r="A28" s="82"/>
      <c r="B28" s="4" t="s">
        <v>11</v>
      </c>
      <c r="C28" s="26">
        <f>IF($C$25="N.v.t.","-",VLOOKUP('Premies 2021 en 2022'!$B$17,ZW_flex_premies[],VLOOKUP(VALUE(RIGHT(A23,4)),Jaartal_kolomindex[],2,FALSE),FALSE))</f>
        <v>5.9400000000000001E-2</v>
      </c>
      <c r="D28" s="3"/>
      <c r="E28" s="3"/>
      <c r="F28" s="83"/>
    </row>
    <row r="29" spans="1:6" x14ac:dyDescent="0.3">
      <c r="A29" s="82"/>
      <c r="B29" s="3"/>
      <c r="C29" s="24"/>
      <c r="D29" s="3"/>
      <c r="E29" s="3"/>
      <c r="F29" s="83"/>
    </row>
    <row r="30" spans="1:6" ht="14.5" x14ac:dyDescent="0.35">
      <c r="A30" s="82"/>
      <c r="B30" s="25" t="s">
        <v>192</v>
      </c>
      <c r="C30" s="50" t="str">
        <f>IF(Invulformulier!$G$18="Middelgrote werkgever",IF(OR(Invulformulier!$G$7=Hulpsheet!$B$2-1,Invulformulier!$G$7=Hulpsheet!$B$2),"Let op: Kleine startende werkgever",IF(Invulformulier!$G$7=Hulpsheet!$B$2-2,"Let op: Startende werkgever","")),"N.v.t.")</f>
        <v>N.v.t.</v>
      </c>
      <c r="D30" s="3"/>
      <c r="E30" s="3"/>
      <c r="F30" s="83"/>
    </row>
    <row r="31" spans="1:6" x14ac:dyDescent="0.3">
      <c r="A31" s="82"/>
      <c r="B31" s="3"/>
      <c r="C31" s="26"/>
      <c r="D31" s="3"/>
      <c r="E31" s="3"/>
      <c r="F31" s="83"/>
    </row>
    <row r="32" spans="1:6" x14ac:dyDescent="0.3">
      <c r="A32" s="82"/>
      <c r="B32" s="4" t="s">
        <v>219</v>
      </c>
      <c r="C32" s="26" t="str">
        <f>IF($C$30="N.v.t.","-",FLOOR(($C$44*$C$37+(1-$C$44)*$C$27),0.0001))</f>
        <v>-</v>
      </c>
      <c r="D32" s="3"/>
      <c r="E32" s="3"/>
      <c r="F32" s="83"/>
    </row>
    <row r="33" spans="1:6" x14ac:dyDescent="0.3">
      <c r="A33" s="82"/>
      <c r="B33" s="4" t="s">
        <v>11</v>
      </c>
      <c r="C33" s="26" t="str">
        <f>IF($C$30="N.v.t.","-",FLOOR(($C$44*$C$38+(1-$C$44)*$C$28),0.0001))</f>
        <v>-</v>
      </c>
      <c r="D33" s="3"/>
      <c r="E33" s="3"/>
      <c r="F33" s="83"/>
    </row>
    <row r="34" spans="1:6" x14ac:dyDescent="0.3">
      <c r="A34" s="82"/>
      <c r="B34" s="3"/>
      <c r="C34" s="24"/>
      <c r="D34" s="3"/>
      <c r="E34" s="3"/>
      <c r="F34" s="83"/>
    </row>
    <row r="35" spans="1:6" ht="14.5" x14ac:dyDescent="0.35">
      <c r="A35" s="82"/>
      <c r="B35" s="25" t="s">
        <v>189</v>
      </c>
      <c r="C35" s="27" t="str">
        <f>IF(Invulformulier!$G$18="Kleine werkgever","N.v.t.",IF(OR(Invulformulier!$G$7=Hulpsheet!$B$2-1,Invulformulier!$G$7=Hulpsheet!$B$2),"Let op: Kleine startende werkgever",IF(Invulformulier!$G$7=Hulpsheet!$B$2-2,"Let op: Startende werkgever","")))</f>
        <v>N.v.t.</v>
      </c>
      <c r="D35" s="3"/>
      <c r="E35" s="3"/>
      <c r="F35" s="83"/>
    </row>
    <row r="36" spans="1:6" x14ac:dyDescent="0.3">
      <c r="A36" s="82"/>
      <c r="B36" s="3"/>
      <c r="C36" s="24"/>
      <c r="D36" s="3"/>
      <c r="E36" s="3"/>
      <c r="F36" s="83"/>
    </row>
    <row r="37" spans="1:6" x14ac:dyDescent="0.3">
      <c r="A37" s="82"/>
      <c r="B37" s="4" t="s">
        <v>219</v>
      </c>
      <c r="C37" s="26" t="str">
        <f>IF($C$35="Let op: Kleine startende werkgever",VLOOKUP('Premies 2021 en 2022'!$B$17,WGA_premies[],VLOOKUP(VALUE(RIGHT(A23,4)),Jaartal_kolomindex[],2,FALSE),FALSE),IF($C$35="N.v.t.","-",FLOOR(IF('Premies en parameters'!$E$11+'Premies en parameters'!$E$14*(Formules!$C$41-'Premies en parameters'!$E$13)&lt;'Premies en parameters'!E15,'Premies en parameters'!E15,IF('Premies en parameters'!$E$11+'Premies en parameters'!$E$14*(Formules!$C$41-'Premies en parameters'!$E$13)&gt;'Premies en parameters'!E16,'Premies en parameters'!E16,'Premies en parameters'!$E$11+'Premies en parameters'!$E$14*(Formules!$C$41-'Premies en parameters'!$E$13))),0.0001)))</f>
        <v>-</v>
      </c>
      <c r="D37" s="3"/>
      <c r="E37" s="3"/>
      <c r="F37" s="83"/>
    </row>
    <row r="38" spans="1:6" x14ac:dyDescent="0.3">
      <c r="A38" s="82"/>
      <c r="B38" s="4" t="s">
        <v>11</v>
      </c>
      <c r="C38" s="26" t="str">
        <f>IF(AND(F5="Ja",E38&lt;0.5*VLOOKUP('Premies 2021 en 2022'!$B$17,ZW_flex_premies[],VLOOKUP(VALUE(RIGHT(A23,4)),Jaartal_kolomindex[],2,FALSE),FALSE)),0.5*VLOOKUP('Premies 2021 en 2022'!$B$17,ZW_flex_premies[],VLOOKUP(VALUE(RIGHT(A23,4)),Jaartal_kolomindex[],2,FALSE),FALSE),E38)</f>
        <v>-</v>
      </c>
      <c r="D38" s="3"/>
      <c r="E38" s="207" t="str">
        <f>IF($C$35="Let op: Kleine startende werkgever",VLOOKUP('Premies 2021 en 2022'!$B$17,ZW_flex_premies[],VLOOKUP(VALUE(RIGHT(A23,4)),Jaartal_kolomindex[],2,FALSE),FALSE),IF($C$35="N.v.t.","-",FLOOR(IF('Premies en parameters'!$E$25+'Premies en parameters'!$E$28*($C$42-'Premies en parameters'!$E$27)&lt;'Premies en parameters'!$E$29,'Premies en parameters'!$E$29,IF('Premies en parameters'!$E$25+'Premies en parameters'!$E$28*($C$42-'Premies en parameters'!$E$27)&gt;'Premies en parameters'!$E$31,'Premies en parameters'!$E$31,IF(AND(Formules!$F$3="Nee",'Premies en parameters'!$E$25+'Premies en parameters'!$E$28*($C$42-'Premies en parameters'!$E$27)&gt;'Premies en parameters'!$E$30),'Premies en parameters'!$E$30,'Premies en parameters'!$E$25+'Premies en parameters'!$E$28*($C$42-'Premies en parameters'!$E$27)))),0.0001)))</f>
        <v>-</v>
      </c>
      <c r="F38" s="83"/>
    </row>
    <row r="39" spans="1:6" x14ac:dyDescent="0.3">
      <c r="A39" s="82"/>
      <c r="B39" s="4"/>
      <c r="C39" s="26"/>
      <c r="D39" s="3"/>
      <c r="E39" s="3"/>
      <c r="F39" s="83"/>
    </row>
    <row r="40" spans="1:6" x14ac:dyDescent="0.3">
      <c r="A40" s="82"/>
      <c r="B40" s="4"/>
      <c r="C40" s="26"/>
      <c r="D40" s="3"/>
      <c r="E40" s="3"/>
      <c r="F40" s="83"/>
    </row>
    <row r="41" spans="1:6" ht="14.5" x14ac:dyDescent="0.35">
      <c r="A41" s="82"/>
      <c r="B41" s="28" t="s">
        <v>220</v>
      </c>
      <c r="C41" s="29" t="str">
        <f>IF($C$35="N.v.t.","",IF(OR(Invulformulier!$G$7=Hulpsheet!$B$2-1,Invulformulier!$G$7=Hulpsheet!$B$2),"",IF(OR($F$6="Nee",$F$6="Ja in "&amp;Hulpsheet!$B$2-1),Invulformulier!$G$25/AVERAGE(Invulformulier!$G$10,Invulformulier!$G$11,Invulformulier!$G$12,Invulformulier!$G$13,Invulformulier!$G$14),IF(Invulformulier!$G$7=Hulpsheet!$B$2-5,Invulformulier!$G$25/('Premies en parameters'!$E$22*AVERAGE(Invulformulier!$G$10,Invulformulier!$G$11,Invulformulier!$G$12,Invulformulier!$G$13)),IF(Invulformulier!$G$7=Hulpsheet!$B$2-4,Invulformulier!$G$25/('Premies en parameters'!$E$21*AVERAGE(Invulformulier!$G$10,Invulformulier!$G$11,Invulformulier!$G$12)),IF(Invulformulier!$G$7=Hulpsheet!$B$2-3,Invulformulier!$G$25/('Premies en parameters'!$E$20*AVERAGE(Invulformulier!$G$10,Invulformulier!$G$11)),IF(Invulformulier!$G$7=Hulpsheet!$B$2-2,Invulformulier!$G$25/('Premies en parameters'!$E$19*Invulformulier!$G$10),)))))))</f>
        <v/>
      </c>
      <c r="D41" s="3"/>
      <c r="E41" s="3"/>
      <c r="F41" s="83"/>
    </row>
    <row r="42" spans="1:6" ht="14.5" x14ac:dyDescent="0.35">
      <c r="A42" s="82"/>
      <c r="B42" s="28" t="s">
        <v>195</v>
      </c>
      <c r="C42" s="29" t="str">
        <f>IF($C$35="N.v.t.","",IF(OR(Invulformulier!$G$7=Hulpsheet!$B$2-1,Invulformulier!$G$7=Hulpsheet!$B$2),"",IF(OR($F$6="Nee",$F$6="Ja in "&amp;Hulpsheet!$B$2-1),Invulformulier!$G$26/AVERAGE(Invulformulier!$G$10,Invulformulier!$G$11,Invulformulier!$G$12,Invulformulier!$G$13,Invulformulier!$G$14),IF(Invulformulier!$G$7=Hulpsheet!$B$2-5,Invulformulier!$G$26/('Premies en parameters'!$E$37*AVERAGE(Invulformulier!$G$10,Invulformulier!$G$11,Invulformulier!$G$12,Invulformulier!$G$13)),IF(Invulformulier!$G$7=Hulpsheet!$B$2-4,Invulformulier!$G$26/('Premies en parameters'!$E$36*AVERAGE(Invulformulier!$G$10,Invulformulier!$G$11,Invulformulier!$G$12)),IF(Invulformulier!$G$7=Hulpsheet!$B$2-3,Invulformulier!$G$26/('Premies en parameters'!$E$35*AVERAGE(Invulformulier!$G$10,Invulformulier!$G$11)),IF(Invulformulier!$G$7=Hulpsheet!$B$2-2,Invulformulier!$G$26/('Premies en parameters'!$E$34*Invulformulier!$G$10),)))))))</f>
        <v/>
      </c>
      <c r="D42" s="3"/>
      <c r="E42" s="3"/>
      <c r="F42" s="83"/>
    </row>
    <row r="43" spans="1:6" ht="14.5" x14ac:dyDescent="0.35">
      <c r="A43" s="82"/>
      <c r="B43" s="28"/>
      <c r="C43" s="30"/>
      <c r="D43" s="3"/>
      <c r="E43" s="3"/>
      <c r="F43" s="83"/>
    </row>
    <row r="44" spans="1:6" ht="14.5" x14ac:dyDescent="0.35">
      <c r="A44" s="82"/>
      <c r="B44" s="28" t="s">
        <v>196</v>
      </c>
      <c r="C44" s="31" t="str">
        <f>IF($C$30="N.v.t.","-",FLOOR((Invulformulier!$G$10-VLOOKUP(VALUE(RIGHT(A23,4)),Grens_klein_middel_groot[],3,FALSE))/(VLOOKUP(VALUE(RIGHT(A23,4)),Grens_klein_middel_groot[],4,FALSE)-VLOOKUP(VALUE(RIGHT(A23,4)),Grens_klein_middel_groot[],3,FALSE)),0.0001))</f>
        <v>-</v>
      </c>
      <c r="D44" s="3"/>
      <c r="E44" s="3"/>
      <c r="F44" s="83"/>
    </row>
    <row r="45" spans="1:6" x14ac:dyDescent="0.3">
      <c r="A45" s="84"/>
      <c r="B45" s="85"/>
      <c r="C45" s="196"/>
      <c r="D45" s="85"/>
      <c r="E45" s="197"/>
      <c r="F45" s="86"/>
    </row>
    <row r="46" spans="1:6" x14ac:dyDescent="0.3">
      <c r="A46" s="14"/>
      <c r="B46" s="15"/>
      <c r="C46" s="15"/>
      <c r="F46" s="18"/>
    </row>
    <row r="47" spans="1:6" ht="18" customHeight="1" x14ac:dyDescent="0.3">
      <c r="A47" s="213" t="str">
        <f>"Whk-premie "&amp;Hulpsheet!$B$2-1</f>
        <v>Whk-premie 2021</v>
      </c>
      <c r="B47" s="214"/>
      <c r="C47" s="214"/>
      <c r="D47" s="214"/>
      <c r="E47" s="214"/>
      <c r="F47" s="215"/>
    </row>
    <row r="48" spans="1:6" x14ac:dyDescent="0.3">
      <c r="A48" s="198"/>
      <c r="B48" s="90"/>
      <c r="C48" s="90"/>
      <c r="D48" s="90"/>
      <c r="E48" s="90"/>
      <c r="F48" s="199"/>
    </row>
    <row r="49" spans="1:6" ht="14.5" x14ac:dyDescent="0.35">
      <c r="A49" s="87"/>
      <c r="B49" s="25" t="s">
        <v>188</v>
      </c>
      <c r="C49" s="28" t="str">
        <f>IF(Invulformulier!$G$17="Grote werkgever","N.v.t.","")</f>
        <v/>
      </c>
      <c r="D49" s="4"/>
      <c r="E49" s="4"/>
      <c r="F49" s="88"/>
    </row>
    <row r="50" spans="1:6" ht="14.5" x14ac:dyDescent="0.35">
      <c r="A50" s="87"/>
      <c r="B50" s="28"/>
      <c r="C50" s="204"/>
      <c r="D50" s="4"/>
      <c r="E50" s="4"/>
      <c r="F50" s="88"/>
    </row>
    <row r="51" spans="1:6" x14ac:dyDescent="0.3">
      <c r="A51" s="87"/>
      <c r="B51" s="4" t="s">
        <v>219</v>
      </c>
      <c r="C51" s="205">
        <f>IF($C$49="N.v.t.","-",VLOOKUP('Premies 2021 en 2022'!$B$17,WGA_premies[],VLOOKUP(VALUE(RIGHT(A47,4)),Jaartal_kolomindex[],2,FALSE),FALSE))</f>
        <v>1.6199999999999999E-2</v>
      </c>
      <c r="D51" s="4"/>
      <c r="E51" s="4"/>
      <c r="F51" s="88"/>
    </row>
    <row r="52" spans="1:6" x14ac:dyDescent="0.3">
      <c r="A52" s="87"/>
      <c r="B52" s="4" t="s">
        <v>11</v>
      </c>
      <c r="C52" s="205">
        <f>IF($C$49="N.v.t.","-",VLOOKUP('Premies 2021 en 2022'!$B$17,ZW_flex_premies[],VLOOKUP(VALUE(RIGHT(A47,4)),Jaartal_kolomindex[],2,FALSE),FALSE))</f>
        <v>5.3199999999999997E-2</v>
      </c>
      <c r="D52" s="4"/>
      <c r="E52" s="4"/>
      <c r="F52" s="88"/>
    </row>
    <row r="53" spans="1:6" x14ac:dyDescent="0.3">
      <c r="A53" s="87"/>
      <c r="B53" s="4"/>
      <c r="C53" s="200"/>
      <c r="D53" s="4"/>
      <c r="E53" s="4"/>
      <c r="F53" s="88"/>
    </row>
    <row r="54" spans="1:6" ht="14.5" x14ac:dyDescent="0.35">
      <c r="A54" s="87"/>
      <c r="B54" s="25" t="s">
        <v>192</v>
      </c>
      <c r="C54" s="29" t="str">
        <f>IF(Invulformulier!$G$17="Middelgrote werkgever",IF(OR(Invulformulier!$G$7=Hulpsheet!$B$2-3,Invulformulier!$G$7=Hulpsheet!$B$2-2,Invulformulier!$G$7=Hulpsheet!$B$2-1),"Let op: Kleine startende werkgever",""),"N.v.t.")</f>
        <v>N.v.t.</v>
      </c>
      <c r="D54" s="4"/>
      <c r="E54" s="4"/>
      <c r="F54" s="88"/>
    </row>
    <row r="55" spans="1:6" x14ac:dyDescent="0.3">
      <c r="A55" s="87"/>
      <c r="B55" s="4"/>
      <c r="C55" s="205"/>
      <c r="D55" s="4"/>
      <c r="E55" s="4"/>
      <c r="F55" s="88"/>
    </row>
    <row r="56" spans="1:6" x14ac:dyDescent="0.3">
      <c r="A56" s="87"/>
      <c r="B56" s="4" t="s">
        <v>219</v>
      </c>
      <c r="C56" s="205" t="str">
        <f>IF($C$54="N.v.t.","-",FLOOR(($C$67*$C$61+(1-$C$67)*$C$51),0.0001))</f>
        <v>-</v>
      </c>
      <c r="D56" s="4"/>
      <c r="E56" s="4"/>
      <c r="F56" s="88"/>
    </row>
    <row r="57" spans="1:6" x14ac:dyDescent="0.3">
      <c r="A57" s="87"/>
      <c r="B57" s="4" t="s">
        <v>11</v>
      </c>
      <c r="C57" s="205" t="str">
        <f>IF($C$54="N.v.t.","-",FLOOR(($C$67*$C$62+(1-$C$67)*$C$52),0.0001))</f>
        <v>-</v>
      </c>
      <c r="D57" s="4"/>
      <c r="E57" s="4"/>
      <c r="F57" s="88"/>
    </row>
    <row r="58" spans="1:6" x14ac:dyDescent="0.3">
      <c r="A58" s="87"/>
      <c r="B58" s="4"/>
      <c r="C58" s="200"/>
      <c r="D58" s="4"/>
      <c r="E58" s="4"/>
      <c r="F58" s="88"/>
    </row>
    <row r="59" spans="1:6" ht="14.5" x14ac:dyDescent="0.35">
      <c r="A59" s="87"/>
      <c r="B59" s="25" t="s">
        <v>189</v>
      </c>
      <c r="C59" s="30" t="str">
        <f>IF(Invulformulier!$G$18="Kleine werkgever","N.v.t.",IF(OR(Invulformulier!$G$7=Hulpsheet!$B$2-3,Invulformulier!$G$7=Hulpsheet!$B$2-2,Invulformulier!$G$7=Hulpsheet!$B$2-1),"Let op: Kleine startende werkgever",""))</f>
        <v>N.v.t.</v>
      </c>
      <c r="D59" s="4"/>
      <c r="E59" s="4"/>
      <c r="F59" s="88"/>
    </row>
    <row r="60" spans="1:6" x14ac:dyDescent="0.3">
      <c r="A60" s="87"/>
      <c r="B60" s="4"/>
      <c r="C60" s="200"/>
      <c r="D60" s="4"/>
      <c r="E60" s="4"/>
      <c r="F60" s="88"/>
    </row>
    <row r="61" spans="1:6" x14ac:dyDescent="0.3">
      <c r="A61" s="87"/>
      <c r="B61" s="4" t="s">
        <v>219</v>
      </c>
      <c r="C61" s="205" t="str">
        <f>IF($C$59="Let op: Kleine startende werkgever",VLOOKUP('Premies 2021 en 2022'!$B$17,WGA_premies[],VLOOKUP(VALUE(RIGHT(A47,4)),Jaartal_kolomindex[],2,FALSE),FALSE),IF($C$59="N.v.t.","-",FLOOR(IF('Premies en parameters'!$D$11+'Premies en parameters'!$D$14*(Formules!$C$64-'Premies en parameters'!$D$13)&lt;'Premies en parameters'!D15,'Premies en parameters'!D15,IF('Premies en parameters'!$D$11+'Premies en parameters'!$D$14*(Formules!$C$64-'Premies en parameters'!$D$13)&gt;'Premies en parameters'!D16,'Premies en parameters'!D16,'Premies en parameters'!$D$11+'Premies en parameters'!$D$14*(Formules!$C$64-'Premies en parameters'!$D$13))),0.0001)))</f>
        <v>-</v>
      </c>
      <c r="D61" s="4"/>
      <c r="E61" s="4"/>
      <c r="F61" s="88"/>
    </row>
    <row r="62" spans="1:6" x14ac:dyDescent="0.3">
      <c r="A62" s="87"/>
      <c r="B62" s="4" t="s">
        <v>11</v>
      </c>
      <c r="C62" s="26" t="str">
        <f>IF(AND(F4="Ja",E62&lt;0.5*VLOOKUP('Premies 2021 en 2022'!$B$17,ZW_flex_premies[],VLOOKUP(VALUE(RIGHT(A47,4)),Jaartal_kolomindex[],2,FALSE),FALSE)),0.5*VLOOKUP('Premies 2021 en 2022'!$B$17,ZW_flex_premies[],VLOOKUP(VALUE(RIGHT(A47,4)),Jaartal_kolomindex[],2,FALSE),FALSE),E62)</f>
        <v>-</v>
      </c>
      <c r="D62" s="4"/>
      <c r="E62" s="207" t="str">
        <f>IF($C$59="Let op: Kleine startende werkgever",VLOOKUP('Premies 2021 en 2022'!$B$17,ZW_flex_premies[],VLOOKUP(VALUE(RIGHT(A47,4)),Jaartal_kolomindex[],2,FALSE),FALSE),IF($C$59="N.v.t.","-",FLOOR(IF('Premies en parameters'!$D$25+'Premies en parameters'!$D$28*($C$65-'Premies en parameters'!$D$27)&lt;'Premies en parameters'!$D$29,'Premies en parameters'!$D$29,IF('Premies en parameters'!$D$25+'Premies en parameters'!$D$28*($C$65-'Premies en parameters'!$D$27)&gt;'Premies en parameters'!$D$31,'Premies en parameters'!$D$31,IF(AND(Formules!$F$3="Nee",'Premies en parameters'!$D$25+'Premies en parameters'!$D$28*($C$65-'Premies en parameters'!$D$27)&gt;'Premies en parameters'!$D$30),'Premies en parameters'!$D$30,'Premies en parameters'!$D$25+'Premies en parameters'!$D$28*($C$65-'Premies en parameters'!$D$27)))),0.0001)))</f>
        <v>-</v>
      </c>
      <c r="F62" s="88"/>
    </row>
    <row r="63" spans="1:6" x14ac:dyDescent="0.3">
      <c r="A63" s="87"/>
      <c r="B63" s="4"/>
      <c r="C63" s="205"/>
      <c r="D63" s="4"/>
      <c r="E63" s="4"/>
      <c r="F63" s="88"/>
    </row>
    <row r="64" spans="1:6" ht="14.5" x14ac:dyDescent="0.35">
      <c r="A64" s="87"/>
      <c r="B64" s="28" t="s">
        <v>220</v>
      </c>
      <c r="C64" s="29" t="str">
        <f>IF($C$59="N.v.t.","",IF(OR(Invulformulier!$G$7=Hulpsheet!$B$2-2,Invulformulier!$G$7=Hulpsheet!$B$2-1),"",IF($F$6="Nee",Invulformulier!$G$21/AVERAGE(Invulformulier!$G$11,Invulformulier!$G$12,Invulformulier!$G$13,Invulformulier!$G$14,Invulformulier!$G$15),IF(Invulformulier!$G$7=Hulpsheet!$B$2-6,Invulformulier!$G$21/('Premies en parameters'!$D$22*AVERAGE(Invulformulier!$G$11,Invulformulier!$G$12,Invulformulier!$G$13,Invulformulier!$G$14)),IF(Invulformulier!$G$7=Hulpsheet!$B$2-5,Invulformulier!$G$21/('Premies en parameters'!$D$21*AVERAGE(Invulformulier!$G$11,Invulformulier!$G$12,Invulformulier!$G$13)),IF(Invulformulier!$G$7=Hulpsheet!$B$2-4,Invulformulier!$G$21/('Premies en parameters'!$D$20*AVERAGE(Invulformulier!$G$11,Invulformulier!$G$12)),IF(Invulformulier!$G$7=Hulpsheet!$B$2-3,Invulformulier!$G$21/('Premies en parameters'!$D$19*Invulformulier!$G$11),)))))))</f>
        <v/>
      </c>
      <c r="D64" s="4"/>
      <c r="E64" s="206"/>
      <c r="F64" s="88"/>
    </row>
    <row r="65" spans="1:6" ht="14.5" x14ac:dyDescent="0.35">
      <c r="A65" s="87"/>
      <c r="B65" s="28" t="s">
        <v>195</v>
      </c>
      <c r="C65" s="29" t="str">
        <f>IF($C$59="N.v.t.","",IF(OR(Invulformulier!$G$7=Hulpsheet!$B$2-2,Invulformulier!$G$7=Hulpsheet!$B$2-1),"",IF($F$6="Nee",Invulformulier!$G$22/AVERAGE(Invulformulier!$G$11,Invulformulier!$G$12,Invulformulier!$G$13,Invulformulier!$G$14,Invulformulier!$G$15),IF(Invulformulier!$G$7=Hulpsheet!$B$2-6,Invulformulier!$G$22/('Premies en parameters'!$D$37*AVERAGE(Invulformulier!$G$11,Invulformulier!$G$12,Invulformulier!$G$13,Invulformulier!$G$14)),IF(Invulformulier!$G$7=Hulpsheet!$B$2-5,Invulformulier!$G$22/('Premies en parameters'!$D$36*AVERAGE(Invulformulier!$G$11,Invulformulier!$G$12,Invulformulier!$G$13)),IF(Invulformulier!$G$7=Hulpsheet!$B$2-4,Invulformulier!$G$22/('Premies en parameters'!$D$35*AVERAGE(Invulformulier!$G$11,Invulformulier!$G$12)),IF(Invulformulier!$G$7=Hulpsheet!$B$2-3,Invulformulier!$G$22/('Premies en parameters'!$D$34*Invulformulier!$G$11),)))))))</f>
        <v/>
      </c>
      <c r="D65" s="4"/>
      <c r="E65" s="206"/>
      <c r="F65" s="88"/>
    </row>
    <row r="66" spans="1:6" ht="14.5" x14ac:dyDescent="0.35">
      <c r="A66" s="87"/>
      <c r="B66" s="28"/>
      <c r="C66" s="30"/>
      <c r="D66" s="4"/>
      <c r="E66" s="4"/>
      <c r="F66" s="88"/>
    </row>
    <row r="67" spans="1:6" ht="14.5" x14ac:dyDescent="0.35">
      <c r="A67" s="87"/>
      <c r="B67" s="28" t="s">
        <v>196</v>
      </c>
      <c r="C67" s="31" t="str">
        <f>IF($C$54="N.v.t.","-",FLOOR((Invulformulier!$G$11-VLOOKUP(VALUE(RIGHT(A47,4)),Grens_klein_middel_groot[],3,FALSE))/(VLOOKUP(VALUE(RIGHT(A47,4)),Grens_klein_middel_groot[],4,FALSE)-VLOOKUP(VALUE(RIGHT(A47,4)),Grens_klein_middel_groot[],3,FALSE)),0.0001))</f>
        <v>-</v>
      </c>
      <c r="D67" s="4"/>
      <c r="E67" s="4"/>
      <c r="F67" s="88"/>
    </row>
    <row r="68" spans="1:6" x14ac:dyDescent="0.3">
      <c r="A68" s="96"/>
      <c r="B68" s="98"/>
      <c r="C68" s="201"/>
      <c r="D68" s="98"/>
      <c r="E68" s="98"/>
      <c r="F68" s="99"/>
    </row>
    <row r="69" spans="1:6" x14ac:dyDescent="0.3">
      <c r="A69" s="14"/>
      <c r="B69" s="15"/>
      <c r="C69" s="68"/>
      <c r="D69" s="67"/>
      <c r="E69" s="67"/>
      <c r="F69" s="20"/>
    </row>
    <row r="70" spans="1:6" x14ac:dyDescent="0.3">
      <c r="A70" s="14"/>
      <c r="B70" s="15"/>
      <c r="C70" s="68"/>
      <c r="D70" s="67"/>
      <c r="E70" s="67"/>
      <c r="F70" s="20"/>
    </row>
    <row r="71" spans="1:6" x14ac:dyDescent="0.3">
      <c r="C71" s="67"/>
      <c r="D71" s="67"/>
      <c r="E71" s="67"/>
      <c r="F71" s="67"/>
    </row>
    <row r="72" spans="1:6" x14ac:dyDescent="0.3">
      <c r="C72" s="67"/>
      <c r="D72" s="67"/>
      <c r="E72" s="67"/>
      <c r="F72" s="67"/>
    </row>
    <row r="73" spans="1:6" x14ac:dyDescent="0.3">
      <c r="C73" s="67"/>
      <c r="D73" s="67"/>
      <c r="E73" s="67"/>
      <c r="F73" s="67"/>
    </row>
    <row r="74" spans="1:6" x14ac:dyDescent="0.3">
      <c r="C74" s="67"/>
      <c r="D74" s="67"/>
      <c r="E74" s="67"/>
      <c r="F74" s="67"/>
    </row>
  </sheetData>
  <protectedRanges>
    <protectedRange sqref="C3:C6 F3" name="Range1"/>
  </protectedRanges>
  <mergeCells count="10">
    <mergeCell ref="A1:F1"/>
    <mergeCell ref="A8:F8"/>
    <mergeCell ref="C13:F13"/>
    <mergeCell ref="C14:F14"/>
    <mergeCell ref="C15:F15"/>
    <mergeCell ref="C18:F18"/>
    <mergeCell ref="C19:F19"/>
    <mergeCell ref="C20:F20"/>
    <mergeCell ref="A47:F47"/>
    <mergeCell ref="A23:F23"/>
  </mergeCells>
  <pageMargins left="0.7" right="0.7" top="0.75" bottom="0.75" header="0.3" footer="0.3"/>
  <pageSetup paperSize="9" scale="6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2"/>
  <sheetViews>
    <sheetView view="pageLayout" topLeftCell="A7" zoomScale="80" zoomScaleNormal="100" zoomScalePageLayoutView="80" workbookViewId="0">
      <selection activeCell="A46" sqref="A46:B46"/>
    </sheetView>
  </sheetViews>
  <sheetFormatPr defaultColWidth="9" defaultRowHeight="14" x14ac:dyDescent="0.3"/>
  <cols>
    <col min="1" max="1" width="28.75" style="32" bestFit="1" customWidth="1"/>
    <col min="2" max="2" width="39.83203125" style="32" customWidth="1"/>
    <col min="3" max="3" width="11.25" style="33" customWidth="1"/>
    <col min="4" max="4" width="11.25" style="1" customWidth="1"/>
    <col min="5" max="5" width="11.25" style="35" customWidth="1"/>
    <col min="6" max="7" width="9.33203125" style="1" customWidth="1"/>
    <col min="8" max="8" width="8.75" style="1" customWidth="1"/>
    <col min="9" max="16384" width="9" style="1"/>
  </cols>
  <sheetData>
    <row r="1" spans="1:6" ht="28" customHeight="1" x14ac:dyDescent="0.3">
      <c r="A1" s="241" t="s">
        <v>0</v>
      </c>
      <c r="B1" s="241"/>
      <c r="C1" s="241"/>
      <c r="D1" s="241"/>
      <c r="E1" s="241"/>
      <c r="F1" s="34"/>
    </row>
    <row r="2" spans="1:6" x14ac:dyDescent="0.3">
      <c r="A2" s="40"/>
      <c r="B2" s="40"/>
      <c r="C2" s="7"/>
      <c r="D2" s="3"/>
    </row>
    <row r="3" spans="1:6" s="36" customFormat="1" ht="18" customHeight="1" x14ac:dyDescent="0.3">
      <c r="A3" s="213" t="s">
        <v>176</v>
      </c>
      <c r="B3" s="214"/>
      <c r="C3" s="214"/>
      <c r="D3" s="214"/>
      <c r="E3" s="215"/>
    </row>
    <row r="4" spans="1:6" x14ac:dyDescent="0.3">
      <c r="A4" s="136"/>
      <c r="B4" s="37"/>
      <c r="C4" s="37"/>
      <c r="D4" s="37"/>
      <c r="E4" s="137"/>
    </row>
    <row r="5" spans="1:6" x14ac:dyDescent="0.3">
      <c r="A5" s="138"/>
      <c r="B5" s="38"/>
      <c r="C5" s="185"/>
      <c r="D5" s="185">
        <f>+E5-1</f>
        <v>2021</v>
      </c>
      <c r="E5" s="139">
        <f>Hulpsheet!$B$2</f>
        <v>2022</v>
      </c>
    </row>
    <row r="6" spans="1:6" x14ac:dyDescent="0.3">
      <c r="A6" s="230" t="s">
        <v>1</v>
      </c>
      <c r="B6" s="231"/>
      <c r="C6" s="39"/>
      <c r="D6" s="39">
        <f>VLOOKUP($D$5,Grens_klein_middel_groot[],2,FALSE)</f>
        <v>34600</v>
      </c>
      <c r="E6" s="140">
        <f>VLOOKUP($E$5,Grens_klein_middel_groot[],2,FALSE)</f>
        <v>35300</v>
      </c>
    </row>
    <row r="7" spans="1:6" x14ac:dyDescent="0.3">
      <c r="A7" s="230" t="s">
        <v>2</v>
      </c>
      <c r="B7" s="231"/>
      <c r="C7" s="39"/>
      <c r="D7" s="39">
        <f>VLOOKUP($D$5,Grens_klein_middel_groot[],4,FALSE)</f>
        <v>3460000</v>
      </c>
      <c r="E7" s="141">
        <f>VLOOKUP($E$5,Grens_klein_middel_groot[],4,FALSE)</f>
        <v>3530000</v>
      </c>
    </row>
    <row r="8" spans="1:6" x14ac:dyDescent="0.3">
      <c r="A8" s="230" t="s">
        <v>3</v>
      </c>
      <c r="B8" s="231"/>
      <c r="C8" s="39"/>
      <c r="D8" s="39">
        <f>VLOOKUP($D$5,Grens_klein_middel_groot[],3,FALSE)</f>
        <v>346000</v>
      </c>
      <c r="E8" s="141">
        <f>VLOOKUP($E$5,Grens_klein_middel_groot[],3,FALSE)</f>
        <v>882500</v>
      </c>
    </row>
    <row r="9" spans="1:6" x14ac:dyDescent="0.3">
      <c r="A9" s="142"/>
      <c r="B9" s="6"/>
      <c r="C9" s="8"/>
      <c r="D9" s="47"/>
      <c r="E9" s="143"/>
    </row>
    <row r="10" spans="1:6" ht="18" customHeight="1" x14ac:dyDescent="0.35">
      <c r="A10" s="232" t="s">
        <v>219</v>
      </c>
      <c r="B10" s="233"/>
      <c r="C10" s="233"/>
      <c r="D10" s="233"/>
      <c r="E10" s="234"/>
    </row>
    <row r="11" spans="1:6" ht="14.25" customHeight="1" x14ac:dyDescent="0.3">
      <c r="A11" s="235" t="s">
        <v>212</v>
      </c>
      <c r="B11" s="236"/>
      <c r="C11" s="190"/>
      <c r="D11" s="191">
        <f>VLOOKUP($A11,WGA_jaar_info[],VLOOKUP($D$5,Jaartal_kolomindex[],2,FALSE),FALSE)</f>
        <v>7.7999999999999996E-3</v>
      </c>
      <c r="E11" s="144">
        <f>VLOOKUP($A11,WGA_jaar_info[],VLOOKUP($E$5,Jaartal_kolomindex[],2,FALSE),FALSE)</f>
        <v>8.3999999999999995E-3</v>
      </c>
    </row>
    <row r="12" spans="1:6" ht="14.25" customHeight="1" x14ac:dyDescent="0.3">
      <c r="A12" s="237" t="s">
        <v>213</v>
      </c>
      <c r="B12" s="238"/>
      <c r="C12" s="190"/>
      <c r="D12" s="193" t="str">
        <f>VLOOKUP($A12,WGA_jaar_info[],VLOOKUP($D$5,Jaartal_kolomindex[],2,FALSE),FALSE)</f>
        <v>-</v>
      </c>
      <c r="E12" s="186" t="str">
        <f>VLOOKUP($A12,WGA_jaar_info[],VLOOKUP($E$5,Jaartal_kolomindex[],2,FALSE),FALSE)</f>
        <v>-</v>
      </c>
    </row>
    <row r="13" spans="1:6" ht="14.25" customHeight="1" x14ac:dyDescent="0.3">
      <c r="A13" s="237" t="s">
        <v>258</v>
      </c>
      <c r="B13" s="238"/>
      <c r="C13" s="191"/>
      <c r="D13" s="191">
        <f>VLOOKUP($A13,WGA_jaar_info[],VLOOKUP($D$5,Jaartal_kolomindex[],2,FALSE),FALSE)</f>
        <v>5.1999999999999998E-3</v>
      </c>
      <c r="E13" s="144">
        <f>VLOOKUP($A13,WGA_jaar_info[],VLOOKUP($E$5,Jaartal_kolomindex[],2,FALSE),FALSE)</f>
        <v>5.5999999999999999E-3</v>
      </c>
    </row>
    <row r="14" spans="1:6" ht="14.25" customHeight="1" x14ac:dyDescent="0.3">
      <c r="A14" s="237" t="s">
        <v>262</v>
      </c>
      <c r="B14" s="239"/>
      <c r="C14" s="188"/>
      <c r="D14" s="188">
        <f>VLOOKUP($A14,WGA_jaar_info[],VLOOKUP($D$5,Jaartal_kolomindex[],2,FALSE),FALSE)</f>
        <v>1.1200000000000001</v>
      </c>
      <c r="E14" s="145">
        <f>VLOOKUP($A14,WGA_jaar_info[],VLOOKUP($E$5,Jaartal_kolomindex[],2,FALSE),FALSE)</f>
        <v>1.1200000000000001</v>
      </c>
    </row>
    <row r="15" spans="1:6" ht="14.25" customHeight="1" x14ac:dyDescent="0.3">
      <c r="A15" s="237" t="s">
        <v>214</v>
      </c>
      <c r="B15" s="238"/>
      <c r="C15" s="191"/>
      <c r="D15" s="191">
        <f>VLOOKUP($A15,WGA_jaar_info[],VLOOKUP($D$5,Jaartal_kolomindex[],2,FALSE),FALSE)</f>
        <v>1.9E-3</v>
      </c>
      <c r="E15" s="144">
        <f>VLOOKUP($A15,WGA_jaar_info[],VLOOKUP($E$5,Jaartal_kolomindex[],2,FALSE),FALSE)</f>
        <v>2.0999999999999999E-3</v>
      </c>
    </row>
    <row r="16" spans="1:6" ht="14.25" customHeight="1" x14ac:dyDescent="0.3">
      <c r="A16" s="237" t="s">
        <v>215</v>
      </c>
      <c r="B16" s="238"/>
      <c r="C16" s="191"/>
      <c r="D16" s="191">
        <f>VLOOKUP($A16,WGA_jaar_info[],VLOOKUP($D$5,Jaartal_kolomindex[],2,FALSE),FALSE)</f>
        <v>3.1199999999999999E-2</v>
      </c>
      <c r="E16" s="144">
        <f>VLOOKUP($A16,WGA_jaar_info[],VLOOKUP($E$5,Jaartal_kolomindex[],2,FALSE),FALSE)</f>
        <v>3.3599999999999998E-2</v>
      </c>
    </row>
    <row r="17" spans="1:5" ht="14.25" customHeight="1" x14ac:dyDescent="0.3">
      <c r="A17" s="240" t="s">
        <v>5</v>
      </c>
      <c r="B17" s="239"/>
      <c r="C17" s="191"/>
      <c r="D17" s="191"/>
      <c r="E17" s="144"/>
    </row>
    <row r="18" spans="1:5" x14ac:dyDescent="0.3">
      <c r="A18" s="240" t="s">
        <v>6</v>
      </c>
      <c r="B18" s="239"/>
      <c r="C18" s="191"/>
      <c r="D18" s="191"/>
      <c r="E18" s="144"/>
    </row>
    <row r="19" spans="1:5" x14ac:dyDescent="0.3">
      <c r="A19" s="244" t="s">
        <v>7</v>
      </c>
      <c r="B19" s="245"/>
      <c r="C19" s="188"/>
      <c r="D19" s="188">
        <f>VLOOKUP($A19,WGA_jaar_info[],VLOOKUP($D$5,Jaartal_kolomindex[],2,FALSE),FALSE)</f>
        <v>5</v>
      </c>
      <c r="E19" s="145">
        <f>VLOOKUP($A19,WGA_jaar_info[],VLOOKUP($E$5,Jaartal_kolomindex[],2,FALSE),FALSE)</f>
        <v>5</v>
      </c>
    </row>
    <row r="20" spans="1:5" x14ac:dyDescent="0.3">
      <c r="A20" s="244" t="s">
        <v>8</v>
      </c>
      <c r="B20" s="245"/>
      <c r="C20" s="188"/>
      <c r="D20" s="188">
        <f>VLOOKUP($A20,WGA_jaar_info[],VLOOKUP($D$5,Jaartal_kolomindex[],2,FALSE),FALSE)</f>
        <v>2.5</v>
      </c>
      <c r="E20" s="145">
        <f>VLOOKUP($A20,WGA_jaar_info[],VLOOKUP($E$5,Jaartal_kolomindex[],2,FALSE),FALSE)</f>
        <v>2.5</v>
      </c>
    </row>
    <row r="21" spans="1:5" x14ac:dyDescent="0.3">
      <c r="A21" s="244" t="s">
        <v>9</v>
      </c>
      <c r="B21" s="245"/>
      <c r="C21" s="188"/>
      <c r="D21" s="188">
        <f>VLOOKUP($A21,WGA_jaar_info[],VLOOKUP($D$5,Jaartal_kolomindex[],2,FALSE),FALSE)</f>
        <v>1.66</v>
      </c>
      <c r="E21" s="145">
        <f>VLOOKUP($A21,WGA_jaar_info[],VLOOKUP($E$5,Jaartal_kolomindex[],2,FALSE),FALSE)</f>
        <v>1.66</v>
      </c>
    </row>
    <row r="22" spans="1:5" x14ac:dyDescent="0.3">
      <c r="A22" s="228" t="s">
        <v>10</v>
      </c>
      <c r="B22" s="229"/>
      <c r="C22" s="192"/>
      <c r="D22" s="192">
        <f>VLOOKUP($A22,WGA_jaar_info[],VLOOKUP($D$5,Jaartal_kolomindex[],2,FALSE),FALSE)</f>
        <v>1.25</v>
      </c>
      <c r="E22" s="152">
        <f>VLOOKUP($A22,WGA_jaar_info[],VLOOKUP($E$5,Jaartal_kolomindex[],2,FALSE),FALSE)</f>
        <v>1.25</v>
      </c>
    </row>
    <row r="23" spans="1:5" x14ac:dyDescent="0.3">
      <c r="A23" s="146"/>
      <c r="B23" s="41"/>
      <c r="C23" s="3"/>
      <c r="D23" s="43"/>
      <c r="E23" s="137"/>
    </row>
    <row r="24" spans="1:5" ht="18" customHeight="1" x14ac:dyDescent="0.35">
      <c r="A24" s="232" t="s">
        <v>11</v>
      </c>
      <c r="B24" s="233"/>
      <c r="C24" s="233"/>
      <c r="D24" s="233"/>
      <c r="E24" s="234"/>
    </row>
    <row r="25" spans="1:5" ht="14.25" customHeight="1" x14ac:dyDescent="0.3">
      <c r="A25" s="235" t="s">
        <v>212</v>
      </c>
      <c r="B25" s="236"/>
      <c r="C25" s="187"/>
      <c r="D25" s="187">
        <f>VLOOKUP($A25,ZW_jaar_info[],VLOOKUP('Premies en parameters'!$D$5,Jaartal_kolomindex[],2,FALSE),FALSE)</f>
        <v>5.7999999999999996E-3</v>
      </c>
      <c r="E25" s="147">
        <f>VLOOKUP($A25,ZW_jaar_info[],VLOOKUP('Premies en parameters'!$E$5,Jaartal_kolomindex[],2,FALSE),FALSE)</f>
        <v>6.7999999999999996E-3</v>
      </c>
    </row>
    <row r="26" spans="1:5" ht="14.25" customHeight="1" x14ac:dyDescent="0.3">
      <c r="A26" s="237" t="s">
        <v>213</v>
      </c>
      <c r="B26" s="238"/>
      <c r="C26" s="187"/>
      <c r="D26" s="187" t="str">
        <f>VLOOKUP($A26,ZW_jaar_info[],VLOOKUP('Premies en parameters'!$D$5,Jaartal_kolomindex[],2,FALSE),FALSE)</f>
        <v>-</v>
      </c>
      <c r="E26" s="147" t="str">
        <f>VLOOKUP($A26,ZW_jaar_info[],VLOOKUP('Premies en parameters'!$E$5,Jaartal_kolomindex[],2,FALSE),FALSE)</f>
        <v>-</v>
      </c>
    </row>
    <row r="27" spans="1:5" ht="14.25" customHeight="1" x14ac:dyDescent="0.3">
      <c r="A27" s="237" t="s">
        <v>259</v>
      </c>
      <c r="B27" s="238"/>
      <c r="C27" s="187"/>
      <c r="D27" s="187">
        <f>VLOOKUP($A27,ZW_jaar_info[],VLOOKUP('Premies en parameters'!$D$5,Jaartal_kolomindex[],2,FALSE),FALSE)</f>
        <v>3.5000000000000001E-3</v>
      </c>
      <c r="E27" s="147">
        <f>VLOOKUP($A27,ZW_jaar_info[],VLOOKUP('Premies en parameters'!$E$5,Jaartal_kolomindex[],2,FALSE),FALSE)</f>
        <v>3.8999999999999998E-3</v>
      </c>
    </row>
    <row r="28" spans="1:5" ht="14.25" customHeight="1" x14ac:dyDescent="0.3">
      <c r="A28" s="237" t="s">
        <v>263</v>
      </c>
      <c r="B28" s="239"/>
      <c r="C28" s="188"/>
      <c r="D28" s="188">
        <f>VLOOKUP($A28,ZW_jaar_info[],VLOOKUP('Premies en parameters'!$D$5,Jaartal_kolomindex[],2,FALSE),FALSE)</f>
        <v>1.24</v>
      </c>
      <c r="E28" s="145">
        <f>VLOOKUP($A28,ZW_jaar_info[],VLOOKUP('Premies en parameters'!$E$5,Jaartal_kolomindex[],2,FALSE),FALSE)</f>
        <v>1.3</v>
      </c>
    </row>
    <row r="29" spans="1:5" ht="14.25" customHeight="1" x14ac:dyDescent="0.3">
      <c r="A29" s="237" t="s">
        <v>214</v>
      </c>
      <c r="B29" s="238"/>
      <c r="C29" s="187"/>
      <c r="D29" s="187">
        <f>VLOOKUP($A29,ZW_jaar_info[],VLOOKUP('Premies en parameters'!$D$5,Jaartal_kolomindex[],2,FALSE),FALSE)</f>
        <v>1.4E-3</v>
      </c>
      <c r="E29" s="147">
        <f>VLOOKUP($A29,ZW_jaar_info[],VLOOKUP('Premies en parameters'!$E$5,Jaartal_kolomindex[],2,FALSE),FALSE)</f>
        <v>1.6999999999999999E-3</v>
      </c>
    </row>
    <row r="30" spans="1:5" ht="14.25" customHeight="1" x14ac:dyDescent="0.3">
      <c r="A30" s="237" t="s">
        <v>215</v>
      </c>
      <c r="B30" s="238"/>
      <c r="C30" s="187"/>
      <c r="D30" s="187">
        <f>VLOOKUP($A30,ZW_jaar_info[],VLOOKUP('Premies en parameters'!$D$5,Jaartal_kolomindex[],2,FALSE),FALSE)</f>
        <v>2.3199999999999998E-2</v>
      </c>
      <c r="E30" s="147">
        <f>VLOOKUP($A30,ZW_jaar_info[],VLOOKUP('Premies en parameters'!$E$5,Jaartal_kolomindex[],2,FALSE),FALSE)</f>
        <v>2.7199999999999998E-2</v>
      </c>
    </row>
    <row r="31" spans="1:5" ht="14.25" customHeight="1" x14ac:dyDescent="0.3">
      <c r="A31" s="237" t="s">
        <v>216</v>
      </c>
      <c r="B31" s="239"/>
      <c r="C31" s="187"/>
      <c r="D31" s="187">
        <f>VLOOKUP($A31,ZW_jaar_info[],VLOOKUP('Premies en parameters'!$D$5,Jaartal_kolomindex[],2,FALSE),FALSE)</f>
        <v>9.3100000000000002E-2</v>
      </c>
      <c r="E31" s="147">
        <f>VLOOKUP($A31,ZW_jaar_info[],VLOOKUP('Premies en parameters'!$E$5,Jaartal_kolomindex[],2,FALSE),FALSE)</f>
        <v>0.10390000000000001</v>
      </c>
    </row>
    <row r="32" spans="1:5" ht="14.25" customHeight="1" x14ac:dyDescent="0.3">
      <c r="A32" s="240" t="s">
        <v>5</v>
      </c>
      <c r="B32" s="239"/>
      <c r="C32" s="187"/>
      <c r="D32" s="187"/>
      <c r="E32" s="147"/>
    </row>
    <row r="33" spans="1:5" x14ac:dyDescent="0.3">
      <c r="A33" s="240" t="s">
        <v>6</v>
      </c>
      <c r="B33" s="239"/>
      <c r="C33" s="187"/>
      <c r="D33" s="187"/>
      <c r="E33" s="147"/>
    </row>
    <row r="34" spans="1:5" x14ac:dyDescent="0.3">
      <c r="A34" s="244" t="s">
        <v>7</v>
      </c>
      <c r="B34" s="245"/>
      <c r="C34" s="188"/>
      <c r="D34" s="188">
        <f>VLOOKUP($A34,ZW_jaar_info[],VLOOKUP('Premies en parameters'!$D$5,Jaartal_kolomindex[],2,FALSE),FALSE)</f>
        <v>2</v>
      </c>
      <c r="E34" s="145">
        <f>VLOOKUP($A34,ZW_jaar_info[],VLOOKUP('Premies en parameters'!$E$5,Jaartal_kolomindex[],2,FALSE),FALSE)</f>
        <v>2</v>
      </c>
    </row>
    <row r="35" spans="1:5" x14ac:dyDescent="0.3">
      <c r="A35" s="244" t="s">
        <v>8</v>
      </c>
      <c r="B35" s="245"/>
      <c r="C35" s="188"/>
      <c r="D35" s="188">
        <f>VLOOKUP($A35,ZW_jaar_info[],VLOOKUP('Premies en parameters'!$D$5,Jaartal_kolomindex[],2,FALSE),FALSE)</f>
        <v>1</v>
      </c>
      <c r="E35" s="145">
        <f>VLOOKUP($A35,ZW_jaar_info[],VLOOKUP('Premies en parameters'!$E$5,Jaartal_kolomindex[],2,FALSE),FALSE)</f>
        <v>1</v>
      </c>
    </row>
    <row r="36" spans="1:5" x14ac:dyDescent="0.3">
      <c r="A36" s="244" t="s">
        <v>9</v>
      </c>
      <c r="B36" s="245"/>
      <c r="C36" s="188"/>
      <c r="D36" s="188">
        <f>VLOOKUP($A36,ZW_jaar_info[],VLOOKUP('Premies en parameters'!$D$5,Jaartal_kolomindex[],2,FALSE),FALSE)</f>
        <v>1</v>
      </c>
      <c r="E36" s="145">
        <f>VLOOKUP($A36,ZW_jaar_info[],VLOOKUP('Premies en parameters'!$E$5,Jaartal_kolomindex[],2,FALSE),FALSE)</f>
        <v>1</v>
      </c>
    </row>
    <row r="37" spans="1:5" x14ac:dyDescent="0.3">
      <c r="A37" s="244" t="s">
        <v>10</v>
      </c>
      <c r="B37" s="245"/>
      <c r="C37" s="189"/>
      <c r="D37" s="192">
        <f>VLOOKUP($A37,ZW_jaar_info[],VLOOKUP('Premies en parameters'!$D$5,Jaartal_kolomindex[],2,FALSE),FALSE)</f>
        <v>1</v>
      </c>
      <c r="E37" s="145">
        <f>VLOOKUP($A37,ZW_jaar_info[],VLOOKUP('Premies en parameters'!$E$5,Jaartal_kolomindex[],2,FALSE),FALSE)</f>
        <v>1</v>
      </c>
    </row>
    <row r="38" spans="1:5" x14ac:dyDescent="0.3">
      <c r="A38" s="148"/>
      <c r="B38" s="149"/>
      <c r="C38" s="150"/>
      <c r="D38" s="153"/>
      <c r="E38" s="154"/>
    </row>
    <row r="39" spans="1:5" collapsed="1" x14ac:dyDescent="0.3">
      <c r="A39" s="40"/>
      <c r="B39" s="40"/>
      <c r="C39" s="7"/>
      <c r="D39" s="3"/>
    </row>
    <row r="40" spans="1:5" s="36" customFormat="1" ht="18" customHeight="1" x14ac:dyDescent="0.3">
      <c r="A40" s="213" t="s">
        <v>13</v>
      </c>
      <c r="B40" s="214"/>
      <c r="C40" s="214"/>
      <c r="D40" s="214"/>
      <c r="E40" s="215"/>
    </row>
    <row r="41" spans="1:5" x14ac:dyDescent="0.3">
      <c r="A41" s="136"/>
      <c r="B41" s="37"/>
      <c r="C41" s="37"/>
      <c r="D41" s="37"/>
      <c r="E41" s="137"/>
    </row>
    <row r="42" spans="1:5" x14ac:dyDescent="0.3">
      <c r="A42" s="138"/>
      <c r="B42" s="38"/>
      <c r="C42" s="162"/>
      <c r="D42" s="162">
        <f>D5</f>
        <v>2021</v>
      </c>
      <c r="E42" s="155">
        <f>E5</f>
        <v>2022</v>
      </c>
    </row>
    <row r="43" spans="1:5" x14ac:dyDescent="0.3">
      <c r="A43" s="242" t="s">
        <v>14</v>
      </c>
      <c r="B43" s="243"/>
      <c r="C43" s="42"/>
      <c r="D43" s="42"/>
      <c r="E43" s="137"/>
    </row>
    <row r="44" spans="1:5" x14ac:dyDescent="0.3">
      <c r="A44" s="248" t="s">
        <v>302</v>
      </c>
      <c r="B44" s="249"/>
      <c r="C44" s="42"/>
      <c r="D44" s="42">
        <f>VLOOKUP($A$44,Premies_werknemersverzekeringen[],VLOOKUP($D$42,Jaartal_kolomindex[],2,FALSE),FALSE)</f>
        <v>7.6999999999999999E-2</v>
      </c>
      <c r="E44" s="156">
        <f>VLOOKUP($A$44,Premies_werknemersverzekeringen[],VLOOKUP($E$42,Jaartal_kolomindex[],2,FALSE),FALSE)</f>
        <v>7.6999999999999999E-2</v>
      </c>
    </row>
    <row r="45" spans="1:5" x14ac:dyDescent="0.3">
      <c r="A45" s="248" t="s">
        <v>303</v>
      </c>
      <c r="B45" s="249"/>
      <c r="C45" s="42"/>
      <c r="D45" s="42">
        <f>VLOOKUP($A$44,Premies_werknemersverzekeringen[],VLOOKUP($D$42,Jaartal_kolomindex[],2,FALSE),FALSE)</f>
        <v>7.6999999999999999E-2</v>
      </c>
      <c r="E45" s="156">
        <f>VLOOKUP($A$45,Premies_werknemersverzekeringen[],VLOOKUP($E$42,Jaartal_kolomindex[],2,FALSE),FALSE)</f>
        <v>2.7E-2</v>
      </c>
    </row>
    <row r="46" spans="1:5" x14ac:dyDescent="0.3">
      <c r="A46" s="242" t="s">
        <v>18</v>
      </c>
      <c r="B46" s="243"/>
      <c r="C46" s="42"/>
      <c r="D46" s="42">
        <f>VLOOKUP($A$46,Premies_werknemersverzekeringen[],VLOOKUP($D$42,Jaartal_kolomindex[],2,FALSE),FALSE)</f>
        <v>7.0300000000000001E-2</v>
      </c>
      <c r="E46" s="156"/>
    </row>
    <row r="47" spans="1:5" x14ac:dyDescent="0.3">
      <c r="A47" s="242" t="s">
        <v>293</v>
      </c>
      <c r="B47" s="243"/>
      <c r="C47" s="42"/>
      <c r="D47" s="42"/>
      <c r="E47" s="156">
        <f>VLOOKUP($A$47,Premies_werknemersverzekeringen[],VLOOKUP($E$42,Jaartal_kolomindex[],2,FALSE),FALSE)</f>
        <v>7.0499999999999993E-2</v>
      </c>
    </row>
    <row r="48" spans="1:5" x14ac:dyDescent="0.3">
      <c r="A48" s="242" t="s">
        <v>294</v>
      </c>
      <c r="B48" s="243"/>
      <c r="C48" s="42"/>
      <c r="D48" s="42"/>
      <c r="E48" s="156">
        <f>VLOOKUP($A$48,Premies_werknemersverzekeringen[],VLOOKUP($E$42,Jaartal_kolomindex[],2,FALSE),FALSE)</f>
        <v>5.4899999999999997E-2</v>
      </c>
    </row>
    <row r="49" spans="1:7" x14ac:dyDescent="0.3">
      <c r="A49" s="246" t="s">
        <v>19</v>
      </c>
      <c r="B49" s="247"/>
      <c r="C49" s="42"/>
      <c r="D49" s="42">
        <f>VLOOKUP($A$49,Premies_werknemersverzekeringen[],VLOOKUP($D$42,Jaartal_kolomindex[],2,FALSE),FALSE)</f>
        <v>5.0000000000000001E-3</v>
      </c>
      <c r="E49" s="156">
        <f>VLOOKUP($A$49,Premies_werknemersverzekeringen[],VLOOKUP($E$42,Jaartal_kolomindex[],2,FALSE),FALSE)</f>
        <v>5.0000000000000001E-3</v>
      </c>
    </row>
    <row r="50" spans="1:7" x14ac:dyDescent="0.3">
      <c r="A50" s="157" t="s">
        <v>20</v>
      </c>
      <c r="B50" s="77"/>
      <c r="C50" s="42"/>
      <c r="D50" s="42">
        <f>VLOOKUP($A$50,Premies_werknemersverzekeringen[],VLOOKUP($D$42,Jaartal_kolomindex[],2,FALSE),FALSE)</f>
        <v>7.0000000000000007E-2</v>
      </c>
      <c r="E50" s="158">
        <f>VLOOKUP($A$50,Premies_werknemersverzekeringen[],VLOOKUP($E$42,Jaartal_kolomindex[],2,FALSE),FALSE)</f>
        <v>6.7500000000000004E-2</v>
      </c>
      <c r="F50" s="4"/>
    </row>
    <row r="51" spans="1:7" x14ac:dyDescent="0.3">
      <c r="A51" s="159"/>
      <c r="B51" s="160"/>
      <c r="C51" s="161"/>
      <c r="D51" s="85"/>
      <c r="E51" s="151"/>
      <c r="F51" s="3"/>
      <c r="G51" s="3"/>
    </row>
    <row r="52" spans="1:7" collapsed="1" x14ac:dyDescent="0.3"/>
  </sheetData>
  <mergeCells count="40">
    <mergeCell ref="A36:B36"/>
    <mergeCell ref="A37:B37"/>
    <mergeCell ref="A27:B27"/>
    <mergeCell ref="A40:E40"/>
    <mergeCell ref="A49:B49"/>
    <mergeCell ref="A46:B46"/>
    <mergeCell ref="A44:B44"/>
    <mergeCell ref="A45:B45"/>
    <mergeCell ref="A47:B47"/>
    <mergeCell ref="A48:B48"/>
    <mergeCell ref="A1:E1"/>
    <mergeCell ref="A43:B43"/>
    <mergeCell ref="A28:B28"/>
    <mergeCell ref="A29:B29"/>
    <mergeCell ref="A30:B30"/>
    <mergeCell ref="A31:B31"/>
    <mergeCell ref="A32:B32"/>
    <mergeCell ref="A33:B33"/>
    <mergeCell ref="A24:E24"/>
    <mergeCell ref="A25:B25"/>
    <mergeCell ref="A26:B26"/>
    <mergeCell ref="A19:B19"/>
    <mergeCell ref="A20:B20"/>
    <mergeCell ref="A21:B21"/>
    <mergeCell ref="A34:B34"/>
    <mergeCell ref="A35:B35"/>
    <mergeCell ref="A22:B22"/>
    <mergeCell ref="A3:E3"/>
    <mergeCell ref="A6:B6"/>
    <mergeCell ref="A7:B7"/>
    <mergeCell ref="A8:B8"/>
    <mergeCell ref="A10:E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7" right="0.7" top="0.75" bottom="0.75" header="0.3" footer="0.3"/>
  <pageSetup paperSize="9" scale="66" fitToHeight="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82"/>
  <sheetViews>
    <sheetView topLeftCell="A4" workbookViewId="0">
      <selection activeCell="J39" sqref="J39"/>
    </sheetView>
  </sheetViews>
  <sheetFormatPr defaultRowHeight="14" x14ac:dyDescent="0.3"/>
  <cols>
    <col min="1" max="1" width="31.58203125" customWidth="1"/>
    <col min="2" max="2" width="39.83203125" bestFit="1" customWidth="1"/>
    <col min="3" max="3" width="17.75" customWidth="1"/>
    <col min="4" max="4" width="18.25" customWidth="1"/>
    <col min="5" max="5" width="10.5" customWidth="1"/>
    <col min="6" max="6" width="15.75" customWidth="1"/>
    <col min="8" max="9" width="10.08203125" customWidth="1"/>
  </cols>
  <sheetData>
    <row r="1" spans="1:6" x14ac:dyDescent="0.3">
      <c r="A1" s="51"/>
      <c r="B1" s="52"/>
      <c r="C1" s="53"/>
      <c r="E1" t="s">
        <v>251</v>
      </c>
      <c r="F1" t="s">
        <v>252</v>
      </c>
    </row>
    <row r="2" spans="1:6" x14ac:dyDescent="0.3">
      <c r="A2" s="54" t="s">
        <v>250</v>
      </c>
      <c r="B2" s="184">
        <v>2022</v>
      </c>
      <c r="C2" s="55"/>
      <c r="E2">
        <v>2015</v>
      </c>
      <c r="F2">
        <v>3</v>
      </c>
    </row>
    <row r="3" spans="1:6" ht="14.5" thickBot="1" x14ac:dyDescent="0.35">
      <c r="A3" s="56"/>
      <c r="B3" s="57"/>
      <c r="C3" s="58"/>
      <c r="E3">
        <f t="shared" ref="E3:E13" si="0">+E2+1</f>
        <v>2016</v>
      </c>
      <c r="F3">
        <f t="shared" ref="F3:F12" si="1">+F2+1</f>
        <v>4</v>
      </c>
    </row>
    <row r="4" spans="1:6" x14ac:dyDescent="0.3">
      <c r="E4">
        <f t="shared" si="0"/>
        <v>2017</v>
      </c>
      <c r="F4">
        <f t="shared" si="1"/>
        <v>5</v>
      </c>
    </row>
    <row r="5" spans="1:6" x14ac:dyDescent="0.3">
      <c r="E5">
        <f t="shared" si="0"/>
        <v>2018</v>
      </c>
      <c r="F5">
        <f t="shared" si="1"/>
        <v>6</v>
      </c>
    </row>
    <row r="6" spans="1:6" x14ac:dyDescent="0.3">
      <c r="E6">
        <f t="shared" si="0"/>
        <v>2019</v>
      </c>
      <c r="F6">
        <f t="shared" si="1"/>
        <v>7</v>
      </c>
    </row>
    <row r="7" spans="1:6" x14ac:dyDescent="0.3">
      <c r="E7">
        <f t="shared" si="0"/>
        <v>2020</v>
      </c>
      <c r="F7">
        <f t="shared" si="1"/>
        <v>8</v>
      </c>
    </row>
    <row r="8" spans="1:6" x14ac:dyDescent="0.3">
      <c r="E8">
        <f t="shared" si="0"/>
        <v>2021</v>
      </c>
      <c r="F8">
        <f>+F7+1</f>
        <v>9</v>
      </c>
    </row>
    <row r="9" spans="1:6" x14ac:dyDescent="0.3">
      <c r="A9" t="s">
        <v>238</v>
      </c>
      <c r="E9">
        <f t="shared" si="0"/>
        <v>2022</v>
      </c>
      <c r="F9">
        <f t="shared" si="1"/>
        <v>10</v>
      </c>
    </row>
    <row r="10" spans="1:6" x14ac:dyDescent="0.3">
      <c r="A10">
        <f>+B2</f>
        <v>2022</v>
      </c>
      <c r="E10">
        <f t="shared" si="0"/>
        <v>2023</v>
      </c>
      <c r="F10">
        <f t="shared" si="1"/>
        <v>11</v>
      </c>
    </row>
    <row r="11" spans="1:6" x14ac:dyDescent="0.3">
      <c r="A11">
        <f t="shared" ref="A11:A17" si="2">+A10-1</f>
        <v>2021</v>
      </c>
      <c r="E11">
        <f t="shared" si="0"/>
        <v>2024</v>
      </c>
      <c r="F11">
        <f t="shared" si="1"/>
        <v>12</v>
      </c>
    </row>
    <row r="12" spans="1:6" x14ac:dyDescent="0.3">
      <c r="A12">
        <f t="shared" si="2"/>
        <v>2020</v>
      </c>
      <c r="E12">
        <f t="shared" si="0"/>
        <v>2025</v>
      </c>
      <c r="F12">
        <f t="shared" si="1"/>
        <v>13</v>
      </c>
    </row>
    <row r="13" spans="1:6" x14ac:dyDescent="0.3">
      <c r="A13">
        <f t="shared" si="2"/>
        <v>2019</v>
      </c>
      <c r="E13">
        <f t="shared" si="0"/>
        <v>2026</v>
      </c>
      <c r="F13">
        <f>+F12+1</f>
        <v>14</v>
      </c>
    </row>
    <row r="14" spans="1:6" x14ac:dyDescent="0.3">
      <c r="A14">
        <f t="shared" si="2"/>
        <v>2018</v>
      </c>
    </row>
    <row r="15" spans="1:6" x14ac:dyDescent="0.3">
      <c r="A15">
        <f t="shared" si="2"/>
        <v>2017</v>
      </c>
    </row>
    <row r="16" spans="1:6" x14ac:dyDescent="0.3">
      <c r="A16">
        <f t="shared" si="2"/>
        <v>2016</v>
      </c>
    </row>
    <row r="17" spans="1:14" x14ac:dyDescent="0.3">
      <c r="A17">
        <f t="shared" si="2"/>
        <v>2015</v>
      </c>
      <c r="H17" s="208" t="str">
        <f>IF($H$10&lt;VLOOKUP(Hulpsheet!$B$2,Grens_klein_middel_groot[],3,FALSE),"")</f>
        <v/>
      </c>
    </row>
    <row r="18" spans="1:14" x14ac:dyDescent="0.3">
      <c r="A18" s="73" t="str">
        <f>"Voor "&amp;A17</f>
        <v>Voor 2015</v>
      </c>
    </row>
    <row r="20" spans="1:14" x14ac:dyDescent="0.3">
      <c r="A20" s="72" t="s">
        <v>255</v>
      </c>
    </row>
    <row r="21" spans="1:14" x14ac:dyDescent="0.3">
      <c r="A21" t="s">
        <v>251</v>
      </c>
      <c r="B21" t="s">
        <v>1</v>
      </c>
      <c r="C21" t="s">
        <v>253</v>
      </c>
      <c r="D21" t="s">
        <v>254</v>
      </c>
    </row>
    <row r="22" spans="1:14" x14ac:dyDescent="0.3">
      <c r="A22">
        <v>2017</v>
      </c>
      <c r="B22" s="60">
        <v>32200</v>
      </c>
      <c r="C22" s="60">
        <f t="shared" ref="C22:C26" si="3">+B22*10</f>
        <v>322000</v>
      </c>
      <c r="D22" s="60">
        <f t="shared" ref="D22:D27" si="4">+B22*100</f>
        <v>3220000</v>
      </c>
    </row>
    <row r="23" spans="1:14" x14ac:dyDescent="0.3">
      <c r="A23">
        <v>2018</v>
      </c>
      <c r="B23" s="60">
        <v>32800</v>
      </c>
      <c r="C23" s="60">
        <f t="shared" si="3"/>
        <v>328000</v>
      </c>
      <c r="D23" s="60">
        <f t="shared" si="4"/>
        <v>3280000</v>
      </c>
    </row>
    <row r="24" spans="1:14" x14ac:dyDescent="0.3">
      <c r="A24">
        <v>2019</v>
      </c>
      <c r="B24" s="69">
        <v>33100</v>
      </c>
      <c r="C24" s="60">
        <f t="shared" si="3"/>
        <v>331000</v>
      </c>
      <c r="D24" s="60">
        <f t="shared" si="4"/>
        <v>3310000</v>
      </c>
    </row>
    <row r="25" spans="1:14" x14ac:dyDescent="0.3">
      <c r="A25">
        <v>2020</v>
      </c>
      <c r="B25" s="74">
        <v>33700</v>
      </c>
      <c r="C25" s="69">
        <f t="shared" si="3"/>
        <v>337000</v>
      </c>
      <c r="D25" s="69">
        <f t="shared" si="4"/>
        <v>3370000</v>
      </c>
    </row>
    <row r="26" spans="1:14" x14ac:dyDescent="0.3">
      <c r="A26">
        <v>2021</v>
      </c>
      <c r="B26" s="74">
        <v>34600</v>
      </c>
      <c r="C26" s="74">
        <f t="shared" si="3"/>
        <v>346000</v>
      </c>
      <c r="D26" s="74">
        <f t="shared" si="4"/>
        <v>3460000</v>
      </c>
    </row>
    <row r="27" spans="1:14" x14ac:dyDescent="0.3">
      <c r="A27">
        <v>2022</v>
      </c>
      <c r="B27" s="74">
        <v>35300</v>
      </c>
      <c r="C27" s="74">
        <f>+B27*25</f>
        <v>882500</v>
      </c>
      <c r="D27" s="74">
        <f t="shared" si="4"/>
        <v>3530000</v>
      </c>
    </row>
    <row r="30" spans="1:14" x14ac:dyDescent="0.3">
      <c r="A30" t="s">
        <v>13</v>
      </c>
      <c r="B30" t="s">
        <v>256</v>
      </c>
      <c r="C30" t="s">
        <v>218</v>
      </c>
      <c r="D30" t="s">
        <v>12</v>
      </c>
      <c r="E30" t="s">
        <v>217</v>
      </c>
      <c r="F30" t="s">
        <v>241</v>
      </c>
      <c r="G30" t="s">
        <v>242</v>
      </c>
      <c r="H30" t="s">
        <v>243</v>
      </c>
      <c r="I30" t="s">
        <v>244</v>
      </c>
      <c r="J30" t="s">
        <v>245</v>
      </c>
      <c r="K30" t="s">
        <v>246</v>
      </c>
      <c r="L30" t="s">
        <v>247</v>
      </c>
      <c r="M30" t="s">
        <v>248</v>
      </c>
      <c r="N30" t="s">
        <v>249</v>
      </c>
    </row>
    <row r="31" spans="1:14" x14ac:dyDescent="0.3">
      <c r="A31" t="s">
        <v>15</v>
      </c>
      <c r="C31" s="163">
        <v>2.2200000000000001E-2</v>
      </c>
      <c r="D31" s="163">
        <v>2.4400000000000002E-2</v>
      </c>
      <c r="E31" s="163">
        <v>2.64E-2</v>
      </c>
      <c r="F31" s="163">
        <v>2.8500000000000001E-2</v>
      </c>
      <c r="G31" s="163">
        <v>3.5999999999999997E-2</v>
      </c>
      <c r="H31" s="163"/>
      <c r="I31" s="163"/>
      <c r="J31" s="163"/>
      <c r="K31" s="163"/>
      <c r="L31" s="163"/>
      <c r="M31" s="163"/>
      <c r="N31" s="163"/>
    </row>
    <row r="32" spans="1:14" x14ac:dyDescent="0.3">
      <c r="A32" t="s">
        <v>302</v>
      </c>
      <c r="C32" s="163"/>
      <c r="D32" s="163"/>
      <c r="E32" s="163"/>
      <c r="F32" s="163"/>
      <c r="G32" s="163"/>
      <c r="H32" s="163">
        <v>7.9399999999999998E-2</v>
      </c>
      <c r="I32" s="166">
        <v>7.6999999999999999E-2</v>
      </c>
      <c r="J32" s="210">
        <v>7.6999999999999999E-2</v>
      </c>
      <c r="K32" s="163"/>
      <c r="L32" s="163"/>
      <c r="M32" s="163"/>
      <c r="N32" s="163"/>
    </row>
    <row r="33" spans="1:14" x14ac:dyDescent="0.3">
      <c r="A33" t="s">
        <v>303</v>
      </c>
      <c r="C33" s="163"/>
      <c r="D33" s="163"/>
      <c r="E33" s="163"/>
      <c r="F33" s="163"/>
      <c r="G33" s="163"/>
      <c r="H33" s="163">
        <v>2.9399999999999999E-2</v>
      </c>
      <c r="I33" s="166">
        <v>2.7E-2</v>
      </c>
      <c r="J33" s="163">
        <v>2.7E-2</v>
      </c>
      <c r="K33" s="163"/>
      <c r="L33" s="163"/>
      <c r="M33" s="163"/>
      <c r="N33" s="163"/>
    </row>
    <row r="34" spans="1:14" x14ac:dyDescent="0.3">
      <c r="A34" t="s">
        <v>16</v>
      </c>
      <c r="C34" s="164" t="s">
        <v>17</v>
      </c>
      <c r="D34" s="164" t="s">
        <v>17</v>
      </c>
      <c r="E34" s="164" t="s">
        <v>17</v>
      </c>
      <c r="F34" s="164" t="s">
        <v>17</v>
      </c>
      <c r="G34" s="164" t="s">
        <v>17</v>
      </c>
      <c r="H34" s="164" t="s">
        <v>274</v>
      </c>
      <c r="I34" s="167" t="s">
        <v>274</v>
      </c>
      <c r="J34" s="164" t="s">
        <v>274</v>
      </c>
      <c r="K34" s="164" t="s">
        <v>274</v>
      </c>
      <c r="L34" s="164" t="s">
        <v>274</v>
      </c>
      <c r="M34" s="164" t="s">
        <v>274</v>
      </c>
      <c r="N34" s="164" t="s">
        <v>274</v>
      </c>
    </row>
    <row r="35" spans="1:14" x14ac:dyDescent="0.3">
      <c r="A35" t="s">
        <v>18</v>
      </c>
      <c r="C35" s="163">
        <v>5.2499999999999998E-2</v>
      </c>
      <c r="D35" s="163">
        <v>5.8799999999999998E-2</v>
      </c>
      <c r="E35" s="163">
        <v>6.1600000000000002E-2</v>
      </c>
      <c r="F35" s="163">
        <v>6.2700000000000006E-2</v>
      </c>
      <c r="G35" s="163">
        <v>6.4600000000000005E-2</v>
      </c>
      <c r="H35" s="163">
        <v>6.7699999999999996E-2</v>
      </c>
      <c r="I35" s="166">
        <v>7.0300000000000001E-2</v>
      </c>
      <c r="J35" s="163"/>
      <c r="K35" s="163"/>
      <c r="L35" s="163"/>
      <c r="M35" s="163"/>
      <c r="N35" s="163"/>
    </row>
    <row r="36" spans="1:14" x14ac:dyDescent="0.3">
      <c r="A36" t="s">
        <v>293</v>
      </c>
      <c r="C36" s="59"/>
      <c r="D36" s="59"/>
      <c r="E36" s="59"/>
      <c r="F36" s="59"/>
      <c r="G36" s="59"/>
      <c r="H36" s="59"/>
      <c r="I36" s="209"/>
      <c r="J36" s="211">
        <v>7.0499999999999993E-2</v>
      </c>
      <c r="K36" s="211"/>
      <c r="L36" s="59"/>
      <c r="M36" s="59"/>
      <c r="N36" s="59"/>
    </row>
    <row r="37" spans="1:14" x14ac:dyDescent="0.3">
      <c r="A37" t="s">
        <v>294</v>
      </c>
      <c r="C37" s="59"/>
      <c r="D37" s="59"/>
      <c r="E37" s="59"/>
      <c r="F37" s="59"/>
      <c r="G37" s="59"/>
      <c r="H37" s="59"/>
      <c r="I37" s="209"/>
      <c r="J37" s="59">
        <v>5.4899999999999997E-2</v>
      </c>
      <c r="K37" s="59"/>
      <c r="L37" s="59"/>
      <c r="M37" s="59"/>
      <c r="N37" s="59"/>
    </row>
    <row r="38" spans="1:14" x14ac:dyDescent="0.3">
      <c r="A38" t="s">
        <v>19</v>
      </c>
      <c r="C38" s="163">
        <v>5.0000000000000001E-3</v>
      </c>
      <c r="D38" s="163">
        <v>5.0000000000000001E-3</v>
      </c>
      <c r="E38" s="163">
        <v>5.0000000000000001E-3</v>
      </c>
      <c r="F38" s="163">
        <v>5.0000000000000001E-3</v>
      </c>
      <c r="G38" s="163">
        <v>5.0000000000000001E-3</v>
      </c>
      <c r="H38" s="163">
        <v>5.0000000000000001E-3</v>
      </c>
      <c r="I38" s="166">
        <v>5.0000000000000001E-3</v>
      </c>
      <c r="J38" s="210">
        <v>5.0000000000000001E-3</v>
      </c>
      <c r="K38" s="163"/>
      <c r="L38" s="163"/>
      <c r="M38" s="163"/>
      <c r="N38" s="163"/>
    </row>
    <row r="39" spans="1:14" x14ac:dyDescent="0.3">
      <c r="A39" t="s">
        <v>20</v>
      </c>
      <c r="C39" s="163">
        <v>6.9500000000000006E-2</v>
      </c>
      <c r="D39" s="163">
        <v>6.7500000000000004E-2</v>
      </c>
      <c r="E39" s="163">
        <v>6.6500000000000004E-2</v>
      </c>
      <c r="F39" s="163">
        <v>6.9000000000000006E-2</v>
      </c>
      <c r="G39" s="163">
        <v>6.9500000000000006E-2</v>
      </c>
      <c r="H39" s="165">
        <v>6.7000000000000004E-2</v>
      </c>
      <c r="I39" s="166">
        <v>7.0000000000000007E-2</v>
      </c>
      <c r="J39" s="163">
        <v>6.7500000000000004E-2</v>
      </c>
      <c r="K39" s="163"/>
      <c r="L39" s="163"/>
      <c r="M39" s="163"/>
      <c r="N39" s="163"/>
    </row>
    <row r="44" spans="1:14" x14ac:dyDescent="0.3">
      <c r="A44" s="72" t="s">
        <v>268</v>
      </c>
    </row>
    <row r="45" spans="1:14" x14ac:dyDescent="0.3">
      <c r="A45" t="s">
        <v>239</v>
      </c>
      <c r="B45" t="s">
        <v>240</v>
      </c>
      <c r="C45" t="s">
        <v>218</v>
      </c>
      <c r="D45" t="s">
        <v>12</v>
      </c>
      <c r="E45" t="s">
        <v>217</v>
      </c>
      <c r="F45" t="s">
        <v>241</v>
      </c>
      <c r="G45" t="s">
        <v>242</v>
      </c>
    </row>
    <row r="46" spans="1:14" x14ac:dyDescent="0.3">
      <c r="A46" t="s">
        <v>21</v>
      </c>
      <c r="B46" t="s">
        <v>155</v>
      </c>
      <c r="C46" s="59">
        <v>2.1399999999999999E-2</v>
      </c>
      <c r="D46" s="59">
        <v>1.89E-2</v>
      </c>
      <c r="E46" s="59">
        <v>8.5000000000000006E-3</v>
      </c>
      <c r="F46" s="59">
        <v>1.0800000000000001E-2</v>
      </c>
      <c r="G46" s="71" t="s">
        <v>267</v>
      </c>
    </row>
    <row r="47" spans="1:14" x14ac:dyDescent="0.3">
      <c r="A47" t="s">
        <v>221</v>
      </c>
      <c r="B47" t="s">
        <v>156</v>
      </c>
      <c r="C47" s="59">
        <v>7.4700000000000003E-2</v>
      </c>
      <c r="D47" s="59">
        <v>6.0600000000000001E-2</v>
      </c>
      <c r="E47" s="59">
        <v>2.3099999999999999E-2</v>
      </c>
      <c r="F47" s="59">
        <v>2.7799999999999998E-2</v>
      </c>
      <c r="G47" s="59">
        <v>2.58E-2</v>
      </c>
    </row>
    <row r="48" spans="1:14" x14ac:dyDescent="0.3">
      <c r="A48" t="s">
        <v>222</v>
      </c>
      <c r="B48" t="s">
        <v>157</v>
      </c>
      <c r="C48" s="59">
        <v>9.7999999999999997E-3</v>
      </c>
      <c r="D48" s="59">
        <v>1.0200000000000001E-2</v>
      </c>
      <c r="E48" s="59">
        <v>5.8999999999999999E-3</v>
      </c>
      <c r="F48" s="59">
        <v>6.6E-3</v>
      </c>
      <c r="G48" s="59">
        <v>5.7999999999999996E-3</v>
      </c>
    </row>
    <row r="49" spans="1:7" x14ac:dyDescent="0.3">
      <c r="A49" t="s">
        <v>23</v>
      </c>
      <c r="B49" t="s">
        <v>24</v>
      </c>
      <c r="C49" s="59">
        <v>2.86E-2</v>
      </c>
      <c r="D49" s="59">
        <v>6.3E-3</v>
      </c>
      <c r="E49" s="59">
        <v>1.2699999999999999E-2</v>
      </c>
      <c r="F49" s="59">
        <v>2.5000000000000001E-2</v>
      </c>
      <c r="G49" s="59">
        <v>1.23E-2</v>
      </c>
    </row>
    <row r="50" spans="1:7" x14ac:dyDescent="0.3">
      <c r="A50" t="s">
        <v>25</v>
      </c>
      <c r="B50" t="s">
        <v>158</v>
      </c>
      <c r="C50" s="59">
        <v>4.7199999999999999E-2</v>
      </c>
      <c r="D50" s="59">
        <v>1.8200000000000001E-2</v>
      </c>
      <c r="E50" s="59">
        <v>1.5800000000000002E-2</v>
      </c>
      <c r="F50" s="59">
        <v>1.6299999999999999E-2</v>
      </c>
      <c r="G50" s="71" t="s">
        <v>267</v>
      </c>
    </row>
    <row r="51" spans="1:7" x14ac:dyDescent="0.3">
      <c r="A51" t="s">
        <v>223</v>
      </c>
      <c r="B51" t="s">
        <v>159</v>
      </c>
      <c r="C51" s="59">
        <v>0.1283</v>
      </c>
      <c r="D51" s="59">
        <v>6.0699999999999997E-2</v>
      </c>
      <c r="E51" s="59">
        <v>5.4800000000000001E-2</v>
      </c>
      <c r="F51" s="59">
        <v>5.74E-2</v>
      </c>
      <c r="G51" s="59">
        <v>0</v>
      </c>
    </row>
    <row r="52" spans="1:7" x14ac:dyDescent="0.3">
      <c r="A52" t="s">
        <v>224</v>
      </c>
      <c r="B52" t="s">
        <v>160</v>
      </c>
      <c r="C52" s="59">
        <v>4.1200000000000001E-2</v>
      </c>
      <c r="D52" s="59">
        <v>1.47E-2</v>
      </c>
      <c r="E52" s="59">
        <v>1.32E-2</v>
      </c>
      <c r="F52" s="59">
        <v>1.2999999999999999E-2</v>
      </c>
      <c r="G52" s="59">
        <v>0</v>
      </c>
    </row>
    <row r="53" spans="1:7" x14ac:dyDescent="0.3">
      <c r="A53" t="s">
        <v>27</v>
      </c>
      <c r="B53" t="s">
        <v>28</v>
      </c>
      <c r="C53" s="59">
        <v>5.9999999999999995E-4</v>
      </c>
      <c r="D53" s="59">
        <v>6.3E-3</v>
      </c>
      <c r="E53" s="59">
        <v>5.7999999999999996E-3</v>
      </c>
      <c r="F53" s="59">
        <v>6.4999999999999997E-3</v>
      </c>
      <c r="G53" s="59">
        <v>7.9000000000000008E-3</v>
      </c>
    </row>
    <row r="54" spans="1:7" x14ac:dyDescent="0.3">
      <c r="A54" t="s">
        <v>29</v>
      </c>
      <c r="B54" t="s">
        <v>30</v>
      </c>
      <c r="C54" s="59">
        <v>2.7E-2</v>
      </c>
      <c r="D54" s="59">
        <v>1.4999999999999999E-2</v>
      </c>
      <c r="E54" s="59">
        <v>1.4999999999999999E-2</v>
      </c>
      <c r="F54" s="59">
        <v>5.8999999999999999E-3</v>
      </c>
      <c r="G54" s="59">
        <v>0</v>
      </c>
    </row>
    <row r="55" spans="1:7" x14ac:dyDescent="0.3">
      <c r="A55" t="s">
        <v>31</v>
      </c>
      <c r="B55" t="s">
        <v>32</v>
      </c>
      <c r="C55" s="59">
        <v>4.0899999999999999E-2</v>
      </c>
      <c r="D55" s="59">
        <v>9.1999999999999998E-3</v>
      </c>
      <c r="E55" s="59">
        <v>2.3999999999999998E-3</v>
      </c>
      <c r="F55" s="59">
        <v>1.4E-3</v>
      </c>
      <c r="G55" s="59">
        <v>0</v>
      </c>
    </row>
    <row r="56" spans="1:7" x14ac:dyDescent="0.3">
      <c r="A56" t="s">
        <v>33</v>
      </c>
      <c r="B56" t="s">
        <v>34</v>
      </c>
      <c r="C56" s="59">
        <v>2.8899999999999999E-2</v>
      </c>
      <c r="D56" s="59">
        <v>2.0400000000000001E-2</v>
      </c>
      <c r="E56" s="59">
        <v>7.9000000000000008E-3</v>
      </c>
      <c r="F56" s="59">
        <v>7.1999999999999998E-3</v>
      </c>
      <c r="G56" s="59">
        <v>2.3999999999999998E-3</v>
      </c>
    </row>
    <row r="57" spans="1:7" x14ac:dyDescent="0.3">
      <c r="A57" t="s">
        <v>35</v>
      </c>
      <c r="B57" t="s">
        <v>36</v>
      </c>
      <c r="C57" s="59">
        <v>2.2499999999999999E-2</v>
      </c>
      <c r="D57" s="59">
        <v>1.14E-2</v>
      </c>
      <c r="E57" s="59">
        <v>1.1900000000000001E-2</v>
      </c>
      <c r="F57" s="59">
        <v>4.0000000000000001E-3</v>
      </c>
      <c r="G57" s="59">
        <v>5.4000000000000003E-3</v>
      </c>
    </row>
    <row r="58" spans="1:7" x14ac:dyDescent="0.3">
      <c r="A58" t="s">
        <v>37</v>
      </c>
      <c r="B58" t="s">
        <v>38</v>
      </c>
      <c r="C58" s="59">
        <v>3.8800000000000001E-2</v>
      </c>
      <c r="D58" s="59">
        <v>2.1999999999999999E-2</v>
      </c>
      <c r="E58" s="59">
        <v>1.5900000000000001E-2</v>
      </c>
      <c r="F58" s="59">
        <v>1.49E-2</v>
      </c>
      <c r="G58" s="59">
        <v>5.1000000000000004E-3</v>
      </c>
    </row>
    <row r="59" spans="1:7" x14ac:dyDescent="0.3">
      <c r="A59" t="s">
        <v>225</v>
      </c>
      <c r="B59" t="s">
        <v>270</v>
      </c>
      <c r="C59" s="59">
        <v>3.8399999999999997E-2</v>
      </c>
      <c r="D59" s="59">
        <v>2.1999999999999999E-2</v>
      </c>
      <c r="E59" s="59">
        <v>1.5900000000000001E-2</v>
      </c>
      <c r="F59" s="59">
        <v>1.49E-2</v>
      </c>
      <c r="G59" s="71" t="s">
        <v>267</v>
      </c>
    </row>
    <row r="60" spans="1:7" x14ac:dyDescent="0.3">
      <c r="A60" t="s">
        <v>226</v>
      </c>
      <c r="B60" t="s">
        <v>271</v>
      </c>
      <c r="C60" s="59">
        <v>5.4100000000000002E-2</v>
      </c>
      <c r="D60" s="59">
        <v>2.18E-2</v>
      </c>
      <c r="E60" s="59">
        <v>1.5900000000000001E-2</v>
      </c>
      <c r="F60" s="59">
        <v>1.49E-2</v>
      </c>
      <c r="G60" s="71" t="s">
        <v>267</v>
      </c>
    </row>
    <row r="61" spans="1:7" x14ac:dyDescent="0.3">
      <c r="A61" t="s">
        <v>39</v>
      </c>
      <c r="B61" t="s">
        <v>40</v>
      </c>
      <c r="C61" s="59">
        <v>1.0800000000000001E-2</v>
      </c>
      <c r="D61" s="59">
        <v>9.1000000000000004E-3</v>
      </c>
      <c r="E61" s="59">
        <v>7.3000000000000001E-3</v>
      </c>
      <c r="F61" s="59">
        <v>9.4000000000000004E-3</v>
      </c>
      <c r="G61" s="59">
        <v>1.1000000000000001E-3</v>
      </c>
    </row>
    <row r="62" spans="1:7" x14ac:dyDescent="0.3">
      <c r="A62" t="s">
        <v>41</v>
      </c>
      <c r="B62" t="s">
        <v>42</v>
      </c>
      <c r="C62" s="59">
        <v>1.03E-2</v>
      </c>
      <c r="D62" s="59">
        <v>1.34E-2</v>
      </c>
      <c r="E62" s="59">
        <v>1.37E-2</v>
      </c>
      <c r="F62" s="59">
        <v>0.01</v>
      </c>
      <c r="G62" s="59">
        <v>3.8E-3</v>
      </c>
    </row>
    <row r="63" spans="1:7" x14ac:dyDescent="0.3">
      <c r="A63" t="s">
        <v>43</v>
      </c>
      <c r="B63" t="s">
        <v>44</v>
      </c>
      <c r="C63" s="59">
        <v>1.9699999999999999E-2</v>
      </c>
      <c r="D63" s="59">
        <v>1.3100000000000001E-2</v>
      </c>
      <c r="E63" s="59">
        <v>7.0000000000000001E-3</v>
      </c>
      <c r="F63" s="59">
        <v>7.0000000000000001E-3</v>
      </c>
      <c r="G63" s="59">
        <v>2.8999999999999998E-3</v>
      </c>
    </row>
    <row r="64" spans="1:7" x14ac:dyDescent="0.3">
      <c r="A64" t="s">
        <v>45</v>
      </c>
      <c r="B64" t="s">
        <v>46</v>
      </c>
      <c r="C64" s="59">
        <v>2.0199999999999999E-2</v>
      </c>
      <c r="D64" s="59">
        <v>1.5800000000000002E-2</v>
      </c>
      <c r="E64" s="59">
        <v>1.2200000000000001E-2</v>
      </c>
      <c r="F64" s="59">
        <v>1.0800000000000001E-2</v>
      </c>
      <c r="G64" s="59">
        <v>5.8999999999999999E-3</v>
      </c>
    </row>
    <row r="65" spans="1:7" x14ac:dyDescent="0.3">
      <c r="A65" t="s">
        <v>47</v>
      </c>
      <c r="B65" t="s">
        <v>48</v>
      </c>
      <c r="C65" s="59">
        <v>1.6500000000000001E-2</v>
      </c>
      <c r="D65" s="59">
        <v>6.6E-3</v>
      </c>
      <c r="E65" s="59">
        <v>7.4999999999999997E-3</v>
      </c>
      <c r="F65" s="59">
        <v>7.1000000000000004E-3</v>
      </c>
      <c r="G65" s="59">
        <v>9.7000000000000003E-3</v>
      </c>
    </row>
    <row r="66" spans="1:7" x14ac:dyDescent="0.3">
      <c r="A66" t="s">
        <v>49</v>
      </c>
      <c r="B66" t="s">
        <v>50</v>
      </c>
      <c r="C66" s="59">
        <v>1.8800000000000001E-2</v>
      </c>
      <c r="D66" s="59">
        <v>1.38E-2</v>
      </c>
      <c r="E66" s="59">
        <v>1.38E-2</v>
      </c>
      <c r="F66" s="59">
        <v>7.6E-3</v>
      </c>
      <c r="G66" s="59">
        <v>8.5000000000000006E-3</v>
      </c>
    </row>
    <row r="67" spans="1:7" x14ac:dyDescent="0.3">
      <c r="A67" t="s">
        <v>51</v>
      </c>
      <c r="B67" t="s">
        <v>52</v>
      </c>
      <c r="C67" s="59">
        <v>1.7999999999999999E-2</v>
      </c>
      <c r="D67" s="59">
        <v>1.2E-2</v>
      </c>
      <c r="E67" s="59">
        <v>1.4999999999999999E-2</v>
      </c>
      <c r="F67" s="59">
        <v>1.43E-2</v>
      </c>
      <c r="G67" s="59">
        <v>7.9000000000000008E-3</v>
      </c>
    </row>
    <row r="68" spans="1:7" x14ac:dyDescent="0.3">
      <c r="A68" t="s">
        <v>53</v>
      </c>
      <c r="B68" t="s">
        <v>54</v>
      </c>
      <c r="C68" s="59">
        <v>3.2899999999999999E-2</v>
      </c>
      <c r="D68" s="59">
        <v>2.3099999999999999E-2</v>
      </c>
      <c r="E68" s="59">
        <v>2.06E-2</v>
      </c>
      <c r="F68" s="59">
        <v>1.4200000000000001E-2</v>
      </c>
      <c r="G68" s="59">
        <v>1.43E-2</v>
      </c>
    </row>
    <row r="69" spans="1:7" x14ac:dyDescent="0.3">
      <c r="A69" t="s">
        <v>55</v>
      </c>
      <c r="B69" t="s">
        <v>56</v>
      </c>
      <c r="C69" s="59">
        <v>3.5499999999999997E-2</v>
      </c>
      <c r="D69" s="59">
        <v>2.5000000000000001E-2</v>
      </c>
      <c r="E69" s="59">
        <v>0.02</v>
      </c>
      <c r="F69" s="59">
        <v>0.02</v>
      </c>
      <c r="G69" s="59">
        <v>7.4000000000000003E-3</v>
      </c>
    </row>
    <row r="70" spans="1:7" x14ac:dyDescent="0.3">
      <c r="A70" t="s">
        <v>57</v>
      </c>
      <c r="B70" t="s">
        <v>58</v>
      </c>
      <c r="C70" s="59">
        <v>1.84E-2</v>
      </c>
      <c r="D70" s="59">
        <v>1.55E-2</v>
      </c>
      <c r="E70" s="59">
        <v>2.47E-2</v>
      </c>
      <c r="F70" s="59">
        <v>1.0999999999999999E-2</v>
      </c>
      <c r="G70" s="59">
        <v>5.8999999999999999E-3</v>
      </c>
    </row>
    <row r="71" spans="1:7" x14ac:dyDescent="0.3">
      <c r="A71" t="s">
        <v>59</v>
      </c>
      <c r="B71" t="s">
        <v>60</v>
      </c>
      <c r="C71" s="59">
        <v>3.6499999999999998E-2</v>
      </c>
      <c r="D71" s="59">
        <v>3.2899999999999999E-2</v>
      </c>
      <c r="E71" s="59">
        <v>2.3400000000000001E-2</v>
      </c>
      <c r="F71" s="59">
        <v>1.84E-2</v>
      </c>
      <c r="G71" s="59">
        <v>5.8999999999999999E-3</v>
      </c>
    </row>
    <row r="72" spans="1:7" x14ac:dyDescent="0.3">
      <c r="A72" t="s">
        <v>61</v>
      </c>
      <c r="B72" t="s">
        <v>62</v>
      </c>
      <c r="C72" s="59">
        <v>1.47E-2</v>
      </c>
      <c r="D72" s="59">
        <v>9.4999999999999998E-3</v>
      </c>
      <c r="E72" s="59">
        <v>1.1599999999999999E-2</v>
      </c>
      <c r="F72" s="59">
        <v>5.0000000000000001E-3</v>
      </c>
      <c r="G72" s="59">
        <v>4.1999999999999997E-3</v>
      </c>
    </row>
    <row r="73" spans="1:7" x14ac:dyDescent="0.3">
      <c r="A73" t="s">
        <v>63</v>
      </c>
      <c r="B73" t="s">
        <v>64</v>
      </c>
      <c r="C73" s="59">
        <v>1.32E-2</v>
      </c>
      <c r="D73" s="59">
        <v>1.5100000000000001E-2</v>
      </c>
      <c r="E73" s="59">
        <v>9.4000000000000004E-3</v>
      </c>
      <c r="F73" s="59">
        <v>4.7999999999999996E-3</v>
      </c>
      <c r="G73" s="59">
        <v>7.6E-3</v>
      </c>
    </row>
    <row r="74" spans="1:7" x14ac:dyDescent="0.3">
      <c r="A74" t="s">
        <v>65</v>
      </c>
      <c r="B74" t="s">
        <v>66</v>
      </c>
      <c r="C74" s="59">
        <v>0.01</v>
      </c>
      <c r="D74" s="59">
        <v>8.0000000000000002E-3</v>
      </c>
      <c r="E74" s="59">
        <v>1.61E-2</v>
      </c>
      <c r="F74" s="59">
        <v>0</v>
      </c>
      <c r="G74" s="59">
        <v>0</v>
      </c>
    </row>
    <row r="75" spans="1:7" x14ac:dyDescent="0.3">
      <c r="A75" t="s">
        <v>67</v>
      </c>
      <c r="B75" t="s">
        <v>68</v>
      </c>
      <c r="C75" s="59">
        <v>5.1999999999999998E-3</v>
      </c>
      <c r="D75" s="59">
        <v>7.6E-3</v>
      </c>
      <c r="E75" s="59">
        <v>9.2999999999999992E-3</v>
      </c>
      <c r="F75" s="59">
        <v>1.38E-2</v>
      </c>
      <c r="G75" s="59">
        <v>5.0000000000000001E-4</v>
      </c>
    </row>
    <row r="76" spans="1:7" x14ac:dyDescent="0.3">
      <c r="A76" t="s">
        <v>69</v>
      </c>
      <c r="B76" t="s">
        <v>70</v>
      </c>
      <c r="C76" s="59">
        <v>2.3E-3</v>
      </c>
      <c r="D76" s="59">
        <v>3.5000000000000001E-3</v>
      </c>
      <c r="E76" s="59">
        <v>9.2999999999999992E-3</v>
      </c>
      <c r="F76" s="59">
        <v>3.5999999999999999E-3</v>
      </c>
      <c r="G76" s="59">
        <v>0</v>
      </c>
    </row>
    <row r="77" spans="1:7" x14ac:dyDescent="0.3">
      <c r="A77" t="s">
        <v>71</v>
      </c>
      <c r="B77" t="s">
        <v>72</v>
      </c>
      <c r="C77" s="59">
        <v>5.1000000000000004E-3</v>
      </c>
      <c r="D77" s="59">
        <v>2.3999999999999998E-3</v>
      </c>
      <c r="E77" s="59">
        <v>3.5000000000000001E-3</v>
      </c>
      <c r="F77" s="59">
        <v>3.2000000000000002E-3</v>
      </c>
      <c r="G77" s="59">
        <v>4.7999999999999996E-3</v>
      </c>
    </row>
    <row r="78" spans="1:7" x14ac:dyDescent="0.3">
      <c r="A78" t="s">
        <v>73</v>
      </c>
      <c r="B78" t="s">
        <v>74</v>
      </c>
      <c r="C78" s="59">
        <v>3.3399999999999999E-2</v>
      </c>
      <c r="D78" s="59">
        <v>1.6899999999999998E-2</v>
      </c>
      <c r="E78" s="59">
        <v>2.58E-2</v>
      </c>
      <c r="F78" s="59">
        <v>1.47E-2</v>
      </c>
      <c r="G78" s="59">
        <v>1.37E-2</v>
      </c>
    </row>
    <row r="79" spans="1:7" x14ac:dyDescent="0.3">
      <c r="A79" t="s">
        <v>75</v>
      </c>
      <c r="B79" t="s">
        <v>76</v>
      </c>
      <c r="C79" s="59">
        <v>5.74E-2</v>
      </c>
      <c r="D79" s="59">
        <v>5.7299999999999997E-2</v>
      </c>
      <c r="E79" s="59">
        <v>4.9200000000000001E-2</v>
      </c>
      <c r="F79" s="59">
        <v>2.4299999999999999E-2</v>
      </c>
      <c r="G79" s="59">
        <v>3.5000000000000001E-3</v>
      </c>
    </row>
    <row r="80" spans="1:7" x14ac:dyDescent="0.3">
      <c r="A80" t="s">
        <v>77</v>
      </c>
      <c r="B80" t="s">
        <v>78</v>
      </c>
      <c r="C80" s="59">
        <v>1.09E-2</v>
      </c>
      <c r="D80" s="59">
        <v>9.5999999999999992E-3</v>
      </c>
      <c r="E80" s="59">
        <v>5.4000000000000003E-3</v>
      </c>
      <c r="F80" s="59">
        <v>6.1000000000000004E-3</v>
      </c>
      <c r="G80" s="59">
        <v>5.0000000000000001E-3</v>
      </c>
    </row>
    <row r="81" spans="1:7" x14ac:dyDescent="0.3">
      <c r="A81" t="s">
        <v>79</v>
      </c>
      <c r="B81" t="s">
        <v>80</v>
      </c>
      <c r="C81" s="59">
        <v>4.9700000000000001E-2</v>
      </c>
      <c r="D81" s="59">
        <v>2.4E-2</v>
      </c>
      <c r="E81" s="59">
        <v>2.3E-2</v>
      </c>
      <c r="F81" s="59">
        <v>0.02</v>
      </c>
      <c r="G81" s="59">
        <v>0</v>
      </c>
    </row>
    <row r="82" spans="1:7" x14ac:dyDescent="0.3">
      <c r="A82" t="s">
        <v>81</v>
      </c>
      <c r="B82" t="s">
        <v>82</v>
      </c>
      <c r="C82" s="59">
        <v>1.9E-2</v>
      </c>
      <c r="D82" s="59">
        <v>3.4000000000000002E-2</v>
      </c>
      <c r="E82" s="59">
        <v>3.6700000000000003E-2</v>
      </c>
      <c r="F82" s="59">
        <v>1.3899999999999999E-2</v>
      </c>
      <c r="G82" s="59">
        <v>1.4E-3</v>
      </c>
    </row>
    <row r="83" spans="1:7" x14ac:dyDescent="0.3">
      <c r="A83" t="s">
        <v>83</v>
      </c>
      <c r="B83" t="s">
        <v>84</v>
      </c>
      <c r="C83" s="59">
        <v>1.66E-2</v>
      </c>
      <c r="D83" s="59">
        <v>1.15E-2</v>
      </c>
      <c r="E83" s="59">
        <v>9.1999999999999998E-3</v>
      </c>
      <c r="F83" s="59">
        <v>8.6E-3</v>
      </c>
      <c r="G83" s="59">
        <v>2.3E-3</v>
      </c>
    </row>
    <row r="84" spans="1:7" x14ac:dyDescent="0.3">
      <c r="A84" t="s">
        <v>85</v>
      </c>
      <c r="B84" t="s">
        <v>161</v>
      </c>
      <c r="C84" s="59">
        <v>2.86E-2</v>
      </c>
      <c r="D84" s="59">
        <v>2.3699999999999999E-2</v>
      </c>
      <c r="E84" s="59">
        <v>1.5800000000000002E-2</v>
      </c>
      <c r="F84" s="59">
        <v>1.5299999999999999E-2</v>
      </c>
      <c r="G84" s="71" t="s">
        <v>267</v>
      </c>
    </row>
    <row r="85" spans="1:7" x14ac:dyDescent="0.3">
      <c r="A85" t="s">
        <v>227</v>
      </c>
      <c r="B85" t="s">
        <v>162</v>
      </c>
      <c r="C85" s="59">
        <v>5.8200000000000002E-2</v>
      </c>
      <c r="D85" s="59">
        <v>5.5599999999999997E-2</v>
      </c>
      <c r="E85" s="59">
        <v>3.1E-2</v>
      </c>
      <c r="F85" s="59">
        <v>2.92E-2</v>
      </c>
      <c r="G85" s="59">
        <v>2.9999999999999997E-4</v>
      </c>
    </row>
    <row r="86" spans="1:7" x14ac:dyDescent="0.3">
      <c r="A86" t="s">
        <v>228</v>
      </c>
      <c r="B86" t="s">
        <v>163</v>
      </c>
      <c r="C86" s="59">
        <v>1.4500000000000001E-2</v>
      </c>
      <c r="D86" s="59">
        <v>1.32E-2</v>
      </c>
      <c r="E86" s="59">
        <v>8.2000000000000007E-3</v>
      </c>
      <c r="F86" s="59">
        <v>1.2999999999999999E-2</v>
      </c>
      <c r="G86" s="59">
        <v>2.9999999999999997E-4</v>
      </c>
    </row>
    <row r="87" spans="1:7" x14ac:dyDescent="0.3">
      <c r="A87" t="s">
        <v>87</v>
      </c>
      <c r="B87" t="s">
        <v>88</v>
      </c>
      <c r="C87" s="59">
        <v>2.69E-2</v>
      </c>
      <c r="D87" s="59">
        <v>2.06E-2</v>
      </c>
      <c r="E87" s="59">
        <v>1.78E-2</v>
      </c>
      <c r="F87" s="59">
        <v>9.7999999999999997E-3</v>
      </c>
      <c r="G87" s="59">
        <v>9.1000000000000004E-3</v>
      </c>
    </row>
    <row r="88" spans="1:7" x14ac:dyDescent="0.3">
      <c r="A88" t="s">
        <v>89</v>
      </c>
      <c r="B88" t="s">
        <v>90</v>
      </c>
      <c r="C88" s="59">
        <v>2.0500000000000001E-2</v>
      </c>
      <c r="D88" s="59">
        <v>1.72E-2</v>
      </c>
      <c r="E88" s="59">
        <v>9.4000000000000004E-3</v>
      </c>
      <c r="F88" s="59">
        <v>6.4000000000000003E-3</v>
      </c>
      <c r="G88" s="59">
        <v>4.7000000000000002E-3</v>
      </c>
    </row>
    <row r="89" spans="1:7" x14ac:dyDescent="0.3">
      <c r="A89" t="s">
        <v>91</v>
      </c>
      <c r="B89" t="s">
        <v>92</v>
      </c>
      <c r="C89" s="59">
        <v>2.5700000000000001E-2</v>
      </c>
      <c r="D89" s="59">
        <v>1.37E-2</v>
      </c>
      <c r="E89" s="59">
        <v>1.38E-2</v>
      </c>
      <c r="F89" s="59">
        <v>3.8600000000000002E-2</v>
      </c>
      <c r="G89" s="59">
        <v>2.1899999999999999E-2</v>
      </c>
    </row>
    <row r="90" spans="1:7" x14ac:dyDescent="0.3">
      <c r="A90" t="s">
        <v>93</v>
      </c>
      <c r="B90" t="s">
        <v>94</v>
      </c>
      <c r="C90" s="59">
        <v>1.4500000000000001E-2</v>
      </c>
      <c r="D90" s="59">
        <v>1.7899999999999999E-2</v>
      </c>
      <c r="E90" s="59">
        <v>1.47E-2</v>
      </c>
      <c r="F90" s="59">
        <v>1.2699999999999999E-2</v>
      </c>
      <c r="G90" s="59">
        <v>1.9300000000000001E-2</v>
      </c>
    </row>
    <row r="91" spans="1:7" x14ac:dyDescent="0.3">
      <c r="A91" t="s">
        <v>95</v>
      </c>
      <c r="B91" t="s">
        <v>96</v>
      </c>
      <c r="C91" s="59">
        <v>3.6400000000000002E-2</v>
      </c>
      <c r="D91" s="59">
        <v>2.7699999999999999E-2</v>
      </c>
      <c r="E91" s="59">
        <v>3.5099999999999999E-2</v>
      </c>
      <c r="F91" s="59">
        <v>1.54E-2</v>
      </c>
      <c r="G91" s="59">
        <v>2.1899999999999999E-2</v>
      </c>
    </row>
    <row r="92" spans="1:7" x14ac:dyDescent="0.3">
      <c r="A92" t="s">
        <v>97</v>
      </c>
      <c r="B92" t="s">
        <v>98</v>
      </c>
      <c r="C92" s="59">
        <v>1.67E-2</v>
      </c>
      <c r="D92" s="59">
        <v>1.38E-2</v>
      </c>
      <c r="E92" s="59">
        <v>1.2999999999999999E-2</v>
      </c>
      <c r="F92" s="59">
        <v>1.11E-2</v>
      </c>
      <c r="G92" s="59">
        <v>6.8999999999999999E-3</v>
      </c>
    </row>
    <row r="93" spans="1:7" x14ac:dyDescent="0.3">
      <c r="A93" t="s">
        <v>99</v>
      </c>
      <c r="B93" t="s">
        <v>100</v>
      </c>
      <c r="C93" s="59">
        <v>1.9300000000000001E-2</v>
      </c>
      <c r="D93" s="59">
        <v>1.77E-2</v>
      </c>
      <c r="E93" s="59">
        <v>1.4500000000000001E-2</v>
      </c>
      <c r="F93" s="59">
        <v>1.2999999999999999E-2</v>
      </c>
      <c r="G93" s="59">
        <v>1.1599999999999999E-2</v>
      </c>
    </row>
    <row r="94" spans="1:7" x14ac:dyDescent="0.3">
      <c r="A94" t="s">
        <v>101</v>
      </c>
      <c r="B94" t="s">
        <v>102</v>
      </c>
      <c r="C94" s="59">
        <v>1.0999999999999999E-2</v>
      </c>
      <c r="D94" s="59">
        <v>0.01</v>
      </c>
      <c r="E94" s="59">
        <v>1.01E-2</v>
      </c>
      <c r="F94" s="59">
        <v>8.0000000000000002E-3</v>
      </c>
      <c r="G94" s="59">
        <v>4.0000000000000001E-3</v>
      </c>
    </row>
    <row r="95" spans="1:7" x14ac:dyDescent="0.3">
      <c r="A95" t="s">
        <v>103</v>
      </c>
      <c r="B95" t="s">
        <v>104</v>
      </c>
      <c r="C95" s="59">
        <v>1.5900000000000001E-2</v>
      </c>
      <c r="D95" s="59">
        <v>1.32E-2</v>
      </c>
      <c r="E95" s="59">
        <v>1.2200000000000001E-2</v>
      </c>
      <c r="F95" s="59">
        <v>1.34E-2</v>
      </c>
      <c r="G95" s="59">
        <v>9.7000000000000003E-3</v>
      </c>
    </row>
    <row r="96" spans="1:7" x14ac:dyDescent="0.3">
      <c r="A96" t="s">
        <v>105</v>
      </c>
      <c r="B96" t="s">
        <v>106</v>
      </c>
      <c r="C96" s="59">
        <v>2.1299999999999999E-2</v>
      </c>
      <c r="D96" s="59">
        <v>2.0500000000000001E-2</v>
      </c>
      <c r="E96" s="59">
        <v>1.4800000000000001E-2</v>
      </c>
      <c r="F96" s="59">
        <v>1.9699999999999999E-2</v>
      </c>
      <c r="G96" s="59">
        <v>1.09E-2</v>
      </c>
    </row>
    <row r="97" spans="1:7" x14ac:dyDescent="0.3">
      <c r="A97" t="s">
        <v>107</v>
      </c>
      <c r="B97" t="s">
        <v>108</v>
      </c>
      <c r="C97" s="59">
        <v>7.3000000000000001E-3</v>
      </c>
      <c r="D97" s="59">
        <v>1.6199999999999999E-2</v>
      </c>
      <c r="E97" s="59">
        <v>9.9000000000000008E-3</v>
      </c>
      <c r="F97" s="59">
        <v>7.4999999999999997E-3</v>
      </c>
      <c r="G97" s="59">
        <v>1.6000000000000001E-3</v>
      </c>
    </row>
    <row r="98" spans="1:7" x14ac:dyDescent="0.3">
      <c r="A98" t="s">
        <v>109</v>
      </c>
      <c r="B98" t="s">
        <v>110</v>
      </c>
      <c r="C98" s="59">
        <v>9.5999999999999992E-3</v>
      </c>
      <c r="D98" s="59">
        <v>1.35E-2</v>
      </c>
      <c r="E98" s="59">
        <v>1.9800000000000002E-2</v>
      </c>
      <c r="F98" s="59">
        <v>1.4999999999999999E-2</v>
      </c>
      <c r="G98" s="59">
        <v>0</v>
      </c>
    </row>
    <row r="99" spans="1:7" x14ac:dyDescent="0.3">
      <c r="A99" t="s">
        <v>111</v>
      </c>
      <c r="B99" t="s">
        <v>112</v>
      </c>
      <c r="C99" s="59">
        <v>3.0800000000000001E-2</v>
      </c>
      <c r="D99" s="59">
        <v>1.0800000000000001E-2</v>
      </c>
      <c r="E99" s="59">
        <v>8.8000000000000005E-3</v>
      </c>
      <c r="F99" s="59">
        <v>3.7000000000000002E-3</v>
      </c>
      <c r="G99" s="59">
        <v>5.1000000000000004E-3</v>
      </c>
    </row>
    <row r="100" spans="1:7" x14ac:dyDescent="0.3">
      <c r="A100" t="s">
        <v>113</v>
      </c>
      <c r="B100" t="s">
        <v>114</v>
      </c>
      <c r="C100" s="59">
        <v>8.9999999999999993E-3</v>
      </c>
      <c r="D100" s="59">
        <v>9.9000000000000008E-3</v>
      </c>
      <c r="E100" s="59">
        <v>8.3999999999999995E-3</v>
      </c>
      <c r="F100" s="59">
        <v>7.7000000000000002E-3</v>
      </c>
      <c r="G100" s="59">
        <v>5.5999999999999999E-3</v>
      </c>
    </row>
    <row r="101" spans="1:7" x14ac:dyDescent="0.3">
      <c r="A101" t="s">
        <v>115</v>
      </c>
      <c r="B101" t="s">
        <v>116</v>
      </c>
      <c r="C101" s="59">
        <v>1.0800000000000001E-2</v>
      </c>
      <c r="D101" s="59">
        <v>1.2E-2</v>
      </c>
      <c r="E101" s="59">
        <v>8.5000000000000006E-3</v>
      </c>
      <c r="F101" s="59">
        <v>1.2E-2</v>
      </c>
      <c r="G101" s="59">
        <v>9.1999999999999998E-3</v>
      </c>
    </row>
    <row r="102" spans="1:7" x14ac:dyDescent="0.3">
      <c r="A102" t="s">
        <v>117</v>
      </c>
      <c r="B102" t="s">
        <v>118</v>
      </c>
      <c r="C102" s="59">
        <v>6.7000000000000002E-3</v>
      </c>
      <c r="D102" s="59">
        <v>1.0500000000000001E-2</v>
      </c>
      <c r="E102" s="59">
        <v>1.1900000000000001E-2</v>
      </c>
      <c r="F102" s="59">
        <v>2.9499999999999998E-2</v>
      </c>
      <c r="G102" s="59">
        <v>1.46E-2</v>
      </c>
    </row>
    <row r="103" spans="1:7" x14ac:dyDescent="0.3">
      <c r="A103" t="s">
        <v>119</v>
      </c>
      <c r="B103" t="s">
        <v>164</v>
      </c>
      <c r="C103" s="59">
        <v>5.2499999999999998E-2</v>
      </c>
      <c r="D103" s="59">
        <v>5.5899999999999998E-2</v>
      </c>
      <c r="E103" s="59">
        <v>4.07E-2</v>
      </c>
      <c r="F103" s="59">
        <v>2.93E-2</v>
      </c>
      <c r="G103" s="71" t="s">
        <v>267</v>
      </c>
    </row>
    <row r="104" spans="1:7" x14ac:dyDescent="0.3">
      <c r="A104" t="s">
        <v>229</v>
      </c>
      <c r="B104" t="s">
        <v>165</v>
      </c>
      <c r="C104" s="59">
        <v>4.5199999999999997E-2</v>
      </c>
      <c r="D104" s="59">
        <v>4.3099999999999999E-2</v>
      </c>
      <c r="E104" s="59">
        <v>3.5099999999999999E-2</v>
      </c>
      <c r="F104" s="59">
        <v>2.6599999999999999E-2</v>
      </c>
      <c r="G104" s="59">
        <v>1.9E-2</v>
      </c>
    </row>
    <row r="105" spans="1:7" x14ac:dyDescent="0.3">
      <c r="A105" t="s">
        <v>230</v>
      </c>
      <c r="B105" t="s">
        <v>166</v>
      </c>
      <c r="C105" s="59">
        <v>5.91E-2</v>
      </c>
      <c r="D105" s="59">
        <v>4.0599999999999997E-2</v>
      </c>
      <c r="E105" s="59">
        <v>3.4000000000000002E-2</v>
      </c>
      <c r="F105" s="59">
        <v>2.18E-2</v>
      </c>
      <c r="G105" s="163">
        <v>1.9E-2</v>
      </c>
    </row>
    <row r="106" spans="1:7" x14ac:dyDescent="0.3">
      <c r="A106" t="s">
        <v>231</v>
      </c>
      <c r="B106" t="s">
        <v>167</v>
      </c>
      <c r="C106" s="59">
        <v>5.1799999999999999E-2</v>
      </c>
      <c r="D106" s="59">
        <v>4.6899999999999997E-2</v>
      </c>
      <c r="E106" s="59">
        <v>3.6799999999999999E-2</v>
      </c>
      <c r="F106" s="59">
        <v>2.7E-2</v>
      </c>
      <c r="G106" s="163">
        <v>2.5600000000000001E-2</v>
      </c>
    </row>
    <row r="107" spans="1:7" x14ac:dyDescent="0.3">
      <c r="A107" t="s">
        <v>232</v>
      </c>
      <c r="B107" t="s">
        <v>168</v>
      </c>
      <c r="C107" s="59">
        <v>5.8900000000000001E-2</v>
      </c>
      <c r="D107" s="59">
        <v>6.3200000000000006E-2</v>
      </c>
      <c r="E107" s="59">
        <v>4.3999999999999997E-2</v>
      </c>
      <c r="F107" s="59">
        <v>3.2399999999999998E-2</v>
      </c>
      <c r="G107" s="163">
        <v>2.69E-2</v>
      </c>
    </row>
    <row r="108" spans="1:7" x14ac:dyDescent="0.3">
      <c r="A108" t="s">
        <v>233</v>
      </c>
      <c r="B108" t="s">
        <v>169</v>
      </c>
      <c r="C108" s="59">
        <v>4.5699999999999998E-2</v>
      </c>
      <c r="D108" s="59">
        <v>5.33E-2</v>
      </c>
      <c r="E108" s="59">
        <v>3.9600000000000003E-2</v>
      </c>
      <c r="F108" s="59">
        <v>2.81E-2</v>
      </c>
      <c r="G108" s="163">
        <v>2.3300000000000001E-2</v>
      </c>
    </row>
    <row r="109" spans="1:7" x14ac:dyDescent="0.3">
      <c r="A109" t="s">
        <v>121</v>
      </c>
      <c r="B109" t="s">
        <v>122</v>
      </c>
      <c r="C109" s="59">
        <v>2.87E-2</v>
      </c>
      <c r="D109" s="59">
        <v>2.8400000000000002E-2</v>
      </c>
      <c r="E109" s="59">
        <v>1.4200000000000001E-2</v>
      </c>
      <c r="F109" s="59">
        <v>1.6500000000000001E-2</v>
      </c>
      <c r="G109" s="163">
        <v>7.6E-3</v>
      </c>
    </row>
    <row r="110" spans="1:7" x14ac:dyDescent="0.3">
      <c r="A110" t="s">
        <v>123</v>
      </c>
      <c r="B110" t="s">
        <v>170</v>
      </c>
      <c r="C110" s="59">
        <v>3.8899999999999997E-2</v>
      </c>
      <c r="D110" s="59">
        <v>2.6200000000000001E-2</v>
      </c>
      <c r="E110" s="59">
        <v>2.18E-2</v>
      </c>
      <c r="F110" s="59">
        <v>2.06E-2</v>
      </c>
      <c r="G110" s="71" t="s">
        <v>267</v>
      </c>
    </row>
    <row r="111" spans="1:7" x14ac:dyDescent="0.3">
      <c r="A111" t="s">
        <v>234</v>
      </c>
      <c r="B111" t="s">
        <v>171</v>
      </c>
      <c r="C111" s="59">
        <v>0.10879999999999999</v>
      </c>
      <c r="D111" s="59">
        <v>7.2800000000000004E-2</v>
      </c>
      <c r="E111" s="59">
        <v>6.13E-2</v>
      </c>
      <c r="F111" s="59">
        <v>5.3900000000000003E-2</v>
      </c>
      <c r="G111" s="59">
        <v>3.95E-2</v>
      </c>
    </row>
    <row r="112" spans="1:7" x14ac:dyDescent="0.3">
      <c r="A112" t="s">
        <v>235</v>
      </c>
      <c r="B112" t="s">
        <v>172</v>
      </c>
      <c r="C112" s="59">
        <v>2.35E-2</v>
      </c>
      <c r="D112" s="59">
        <v>1.6E-2</v>
      </c>
      <c r="E112" s="59">
        <v>1.37E-2</v>
      </c>
      <c r="F112" s="59">
        <v>1.1900000000000001E-2</v>
      </c>
      <c r="G112" s="59">
        <v>8.6999999999999994E-3</v>
      </c>
    </row>
    <row r="113" spans="1:7" x14ac:dyDescent="0.3">
      <c r="A113" t="s">
        <v>125</v>
      </c>
      <c r="B113" t="s">
        <v>126</v>
      </c>
      <c r="C113" s="59">
        <v>2.2800000000000001E-2</v>
      </c>
      <c r="D113" s="59">
        <v>2.2700000000000001E-2</v>
      </c>
      <c r="E113" s="59">
        <v>1.14E-2</v>
      </c>
      <c r="F113" s="59">
        <v>1.38E-2</v>
      </c>
      <c r="G113" s="59">
        <v>7.1000000000000004E-3</v>
      </c>
    </row>
    <row r="114" spans="1:7" x14ac:dyDescent="0.3">
      <c r="A114" t="s">
        <v>127</v>
      </c>
      <c r="B114" t="s">
        <v>173</v>
      </c>
      <c r="C114" s="59">
        <v>5.6399999999999999E-2</v>
      </c>
      <c r="D114" s="59">
        <v>5.1400000000000001E-2</v>
      </c>
      <c r="E114" s="59">
        <v>3.5000000000000003E-2</v>
      </c>
      <c r="F114" s="59">
        <v>7.1999999999999998E-3</v>
      </c>
      <c r="G114" s="71" t="s">
        <v>267</v>
      </c>
    </row>
    <row r="115" spans="1:7" x14ac:dyDescent="0.3">
      <c r="A115" t="s">
        <v>236</v>
      </c>
      <c r="B115" t="s">
        <v>174</v>
      </c>
      <c r="C115" s="59">
        <v>0.19570000000000001</v>
      </c>
      <c r="D115" s="59">
        <v>0.17829999999999999</v>
      </c>
      <c r="E115" s="59">
        <v>0.12379999999999999</v>
      </c>
      <c r="F115" s="59">
        <v>1.7500000000000002E-2</v>
      </c>
      <c r="G115" s="59">
        <v>3.1699999999999999E-2</v>
      </c>
    </row>
    <row r="116" spans="1:7" x14ac:dyDescent="0.3">
      <c r="A116" t="s">
        <v>237</v>
      </c>
      <c r="B116" t="s">
        <v>175</v>
      </c>
      <c r="C116" s="59">
        <v>4.2799999999999998E-2</v>
      </c>
      <c r="D116" s="59">
        <v>3.95E-2</v>
      </c>
      <c r="E116" s="59">
        <v>2.81E-2</v>
      </c>
      <c r="F116" s="59">
        <v>6.4000000000000003E-3</v>
      </c>
      <c r="G116" s="59">
        <v>7.1000000000000004E-3</v>
      </c>
    </row>
    <row r="117" spans="1:7" x14ac:dyDescent="0.3">
      <c r="A117" t="s">
        <v>129</v>
      </c>
      <c r="B117" t="s">
        <v>130</v>
      </c>
      <c r="C117" s="59">
        <v>6.13E-2</v>
      </c>
      <c r="D117" s="59">
        <v>2.0400000000000001E-2</v>
      </c>
      <c r="E117" s="59">
        <v>8.8000000000000005E-3</v>
      </c>
      <c r="F117" s="59">
        <v>3.2000000000000002E-3</v>
      </c>
      <c r="G117" s="59">
        <v>2E-3</v>
      </c>
    </row>
    <row r="118" spans="1:7" x14ac:dyDescent="0.3">
      <c r="A118" t="s">
        <v>131</v>
      </c>
      <c r="B118" t="s">
        <v>132</v>
      </c>
      <c r="C118" s="59">
        <v>5.2999999999999999E-2</v>
      </c>
      <c r="D118" s="59">
        <v>4.2999999999999997E-2</v>
      </c>
      <c r="E118" s="59">
        <v>4.1700000000000001E-2</v>
      </c>
      <c r="F118" s="59">
        <v>0.02</v>
      </c>
      <c r="G118" s="59">
        <v>0</v>
      </c>
    </row>
    <row r="119" spans="1:7" x14ac:dyDescent="0.3">
      <c r="A119" t="s">
        <v>133</v>
      </c>
      <c r="B119" t="s">
        <v>134</v>
      </c>
      <c r="C119" s="59">
        <v>4.41E-2</v>
      </c>
      <c r="D119" s="59">
        <v>0</v>
      </c>
      <c r="E119" s="59">
        <v>0</v>
      </c>
      <c r="F119" s="59">
        <v>2.0999999999999999E-3</v>
      </c>
      <c r="G119" s="59">
        <v>4.1000000000000003E-3</v>
      </c>
    </row>
    <row r="120" spans="1:7" x14ac:dyDescent="0.3">
      <c r="A120" t="s">
        <v>135</v>
      </c>
      <c r="B120" t="s">
        <v>136</v>
      </c>
      <c r="C120" s="59">
        <v>3.8600000000000002E-2</v>
      </c>
      <c r="D120" s="59">
        <v>2.01E-2</v>
      </c>
      <c r="E120" s="59">
        <v>5.1999999999999998E-3</v>
      </c>
      <c r="F120" s="59">
        <v>1.6000000000000001E-3</v>
      </c>
      <c r="G120" s="59">
        <v>0</v>
      </c>
    </row>
    <row r="121" spans="1:7" x14ac:dyDescent="0.3">
      <c r="A121" t="s">
        <v>137</v>
      </c>
      <c r="B121" t="s">
        <v>138</v>
      </c>
      <c r="C121" s="59">
        <v>1.2500000000000001E-2</v>
      </c>
      <c r="D121" s="59">
        <v>1.89E-2</v>
      </c>
      <c r="E121" s="59">
        <v>8.3000000000000001E-3</v>
      </c>
      <c r="F121" s="59">
        <v>4.1999999999999997E-3</v>
      </c>
      <c r="G121" s="59">
        <v>4.0000000000000002E-4</v>
      </c>
    </row>
    <row r="122" spans="1:7" x14ac:dyDescent="0.3">
      <c r="A122" t="s">
        <v>139</v>
      </c>
      <c r="B122" t="s">
        <v>140</v>
      </c>
      <c r="C122" s="59">
        <v>1.2500000000000001E-2</v>
      </c>
      <c r="D122" s="59">
        <v>1.89E-2</v>
      </c>
      <c r="E122" s="59">
        <v>8.3000000000000001E-3</v>
      </c>
      <c r="F122" s="59">
        <v>4.1999999999999997E-3</v>
      </c>
      <c r="G122" s="59">
        <v>4.0000000000000002E-4</v>
      </c>
    </row>
    <row r="123" spans="1:7" x14ac:dyDescent="0.3">
      <c r="A123" t="s">
        <v>141</v>
      </c>
      <c r="B123" t="s">
        <v>142</v>
      </c>
      <c r="C123" s="59">
        <v>1.2500000000000001E-2</v>
      </c>
      <c r="D123" s="59">
        <v>1.89E-2</v>
      </c>
      <c r="E123" s="59">
        <v>8.3000000000000001E-3</v>
      </c>
      <c r="F123" s="59">
        <v>4.1999999999999997E-3</v>
      </c>
      <c r="G123" s="59">
        <v>4.0000000000000002E-4</v>
      </c>
    </row>
    <row r="124" spans="1:7" x14ac:dyDescent="0.3">
      <c r="A124" t="s">
        <v>143</v>
      </c>
      <c r="B124" t="s">
        <v>144</v>
      </c>
      <c r="C124" s="59">
        <v>1.2500000000000001E-2</v>
      </c>
      <c r="D124" s="59">
        <v>1.89E-2</v>
      </c>
      <c r="E124" s="59">
        <v>8.3000000000000001E-3</v>
      </c>
      <c r="F124" s="59">
        <v>4.1999999999999997E-3</v>
      </c>
      <c r="G124" s="59">
        <v>4.0000000000000002E-4</v>
      </c>
    </row>
    <row r="125" spans="1:7" x14ac:dyDescent="0.3">
      <c r="A125" t="s">
        <v>145</v>
      </c>
      <c r="B125" t="s">
        <v>146</v>
      </c>
      <c r="C125" s="59">
        <v>1.2500000000000001E-2</v>
      </c>
      <c r="D125" s="59">
        <v>1.89E-2</v>
      </c>
      <c r="E125" s="59">
        <v>8.3000000000000001E-3</v>
      </c>
      <c r="F125" s="59">
        <v>4.1999999999999997E-3</v>
      </c>
      <c r="G125" s="59">
        <v>4.0000000000000002E-4</v>
      </c>
    </row>
    <row r="126" spans="1:7" x14ac:dyDescent="0.3">
      <c r="A126" t="s">
        <v>147</v>
      </c>
      <c r="B126" t="s">
        <v>148</v>
      </c>
      <c r="C126" s="59">
        <v>1.2500000000000001E-2</v>
      </c>
      <c r="D126" s="59">
        <v>1.89E-2</v>
      </c>
      <c r="E126" s="59">
        <v>8.3000000000000001E-3</v>
      </c>
      <c r="F126" s="59">
        <v>4.1999999999999997E-3</v>
      </c>
      <c r="G126" s="59">
        <v>4.0000000000000002E-4</v>
      </c>
    </row>
    <row r="127" spans="1:7" x14ac:dyDescent="0.3">
      <c r="A127" t="s">
        <v>149</v>
      </c>
      <c r="B127" t="s">
        <v>150</v>
      </c>
      <c r="C127" s="59">
        <v>1.2500000000000001E-2</v>
      </c>
      <c r="D127" s="59">
        <v>4.6199999999999998E-2</v>
      </c>
      <c r="E127" s="59">
        <v>3.8399999999999997E-2</v>
      </c>
      <c r="F127" s="59">
        <v>1.9199999999999998E-2</v>
      </c>
      <c r="G127" s="59">
        <v>1.2500000000000001E-2</v>
      </c>
    </row>
    <row r="128" spans="1:7" x14ac:dyDescent="0.3">
      <c r="A128" t="s">
        <v>151</v>
      </c>
      <c r="B128" t="s">
        <v>152</v>
      </c>
      <c r="C128" s="59">
        <v>6.7999999999999996E-3</v>
      </c>
      <c r="D128" s="59">
        <v>8.0999999999999996E-3</v>
      </c>
      <c r="E128" s="59">
        <v>6.0000000000000001E-3</v>
      </c>
      <c r="F128" s="59">
        <v>3.0999999999999999E-3</v>
      </c>
      <c r="G128" s="59">
        <v>6.4000000000000003E-3</v>
      </c>
    </row>
    <row r="129" spans="1:14" x14ac:dyDescent="0.3">
      <c r="A129" t="s">
        <v>153</v>
      </c>
      <c r="B129" t="s">
        <v>154</v>
      </c>
      <c r="C129" s="59">
        <v>1.8800000000000001E-2</v>
      </c>
      <c r="D129" s="59">
        <v>1.4500000000000001E-2</v>
      </c>
      <c r="E129" s="59">
        <v>2.1999999999999999E-2</v>
      </c>
      <c r="F129" s="59">
        <v>1.83E-2</v>
      </c>
      <c r="G129" s="59">
        <v>1.54E-2</v>
      </c>
    </row>
    <row r="131" spans="1:14" x14ac:dyDescent="0.3">
      <c r="A131" s="72" t="s">
        <v>288</v>
      </c>
    </row>
    <row r="132" spans="1:14" x14ac:dyDescent="0.3">
      <c r="A132" t="s">
        <v>239</v>
      </c>
      <c r="B132" t="s">
        <v>240</v>
      </c>
      <c r="C132" t="s">
        <v>218</v>
      </c>
      <c r="D132" t="s">
        <v>12</v>
      </c>
      <c r="E132" t="s">
        <v>217</v>
      </c>
      <c r="F132" t="s">
        <v>241</v>
      </c>
      <c r="G132" t="s">
        <v>242</v>
      </c>
      <c r="H132" t="s">
        <v>243</v>
      </c>
      <c r="I132" t="s">
        <v>244</v>
      </c>
      <c r="J132" t="s">
        <v>245</v>
      </c>
      <c r="K132" t="s">
        <v>246</v>
      </c>
      <c r="L132" t="s">
        <v>247</v>
      </c>
      <c r="M132" t="s">
        <v>248</v>
      </c>
      <c r="N132" t="s">
        <v>249</v>
      </c>
    </row>
    <row r="133" spans="1:14" x14ac:dyDescent="0.3">
      <c r="A133" t="s">
        <v>21</v>
      </c>
      <c r="B133" t="s">
        <v>22</v>
      </c>
      <c r="C133" s="59"/>
      <c r="D133" s="59"/>
      <c r="E133" s="59">
        <v>7.0000000000000001E-3</v>
      </c>
      <c r="F133" s="59">
        <v>6.7000000000000002E-3</v>
      </c>
      <c r="G133" s="59">
        <v>5.8999999999999999E-3</v>
      </c>
      <c r="H133" s="59">
        <v>6.0000000000000001E-3</v>
      </c>
      <c r="I133" s="59">
        <v>6.1999999999999998E-3</v>
      </c>
      <c r="J133" s="59">
        <v>6.1000000000000004E-3</v>
      </c>
      <c r="K133" s="59"/>
      <c r="L133" s="59"/>
      <c r="M133" s="59"/>
      <c r="N133" s="59"/>
    </row>
    <row r="134" spans="1:14" x14ac:dyDescent="0.3">
      <c r="A134" t="s">
        <v>23</v>
      </c>
      <c r="B134" t="s">
        <v>24</v>
      </c>
      <c r="C134" s="59"/>
      <c r="D134" s="59"/>
      <c r="E134" s="59">
        <v>6.0000000000000001E-3</v>
      </c>
      <c r="F134" s="59">
        <v>9.1000000000000004E-3</v>
      </c>
      <c r="G134" s="59">
        <v>9.2999999999999992E-3</v>
      </c>
      <c r="H134" s="59">
        <v>8.5000000000000006E-3</v>
      </c>
      <c r="I134" s="59">
        <v>8.2000000000000007E-3</v>
      </c>
      <c r="J134" s="59">
        <v>8.6999999999999994E-3</v>
      </c>
      <c r="K134" s="59"/>
      <c r="L134" s="59"/>
      <c r="M134" s="59"/>
      <c r="N134" s="59"/>
    </row>
    <row r="135" spans="1:14" x14ac:dyDescent="0.3">
      <c r="A135" t="s">
        <v>25</v>
      </c>
      <c r="B135" t="s">
        <v>26</v>
      </c>
      <c r="C135" s="59"/>
      <c r="D135" s="59"/>
      <c r="E135" s="59">
        <v>1.11E-2</v>
      </c>
      <c r="F135" s="59">
        <v>9.9000000000000008E-3</v>
      </c>
      <c r="G135" s="59">
        <v>8.6E-3</v>
      </c>
      <c r="H135" s="59">
        <v>8.6E-3</v>
      </c>
      <c r="I135" s="59">
        <v>8.2000000000000007E-3</v>
      </c>
      <c r="J135" s="59">
        <v>8.0000000000000002E-3</v>
      </c>
      <c r="K135" s="59"/>
      <c r="L135" s="59"/>
      <c r="M135" s="59"/>
      <c r="N135" s="59"/>
    </row>
    <row r="136" spans="1:14" x14ac:dyDescent="0.3">
      <c r="A136" t="s">
        <v>27</v>
      </c>
      <c r="B136" t="s">
        <v>28</v>
      </c>
      <c r="C136" s="59"/>
      <c r="D136" s="59"/>
      <c r="E136" s="59">
        <v>4.7999999999999996E-3</v>
      </c>
      <c r="F136" s="59">
        <v>3.7000000000000002E-3</v>
      </c>
      <c r="G136" s="59">
        <v>5.1999999999999998E-3</v>
      </c>
      <c r="H136" s="59">
        <v>9.7000000000000003E-3</v>
      </c>
      <c r="I136" s="59">
        <v>1.24E-2</v>
      </c>
      <c r="J136" s="59">
        <v>1.3299999999999999E-2</v>
      </c>
      <c r="K136" s="59"/>
      <c r="L136" s="59"/>
      <c r="M136" s="59"/>
      <c r="N136" s="59"/>
    </row>
    <row r="137" spans="1:14" x14ac:dyDescent="0.3">
      <c r="A137" t="s">
        <v>29</v>
      </c>
      <c r="B137" t="s">
        <v>30</v>
      </c>
      <c r="C137" s="59"/>
      <c r="D137" s="59"/>
      <c r="E137" s="59">
        <v>1.35E-2</v>
      </c>
      <c r="F137" s="59">
        <v>8.6999999999999994E-3</v>
      </c>
      <c r="G137" s="59">
        <v>7.9000000000000008E-3</v>
      </c>
      <c r="H137" s="59">
        <v>8.3999999999999995E-3</v>
      </c>
      <c r="I137" s="59">
        <v>7.7999999999999996E-3</v>
      </c>
      <c r="J137" s="59">
        <v>7.0000000000000001E-3</v>
      </c>
      <c r="K137" s="59"/>
      <c r="L137" s="59"/>
      <c r="M137" s="59"/>
      <c r="N137" s="59"/>
    </row>
    <row r="138" spans="1:14" x14ac:dyDescent="0.3">
      <c r="A138" t="s">
        <v>31</v>
      </c>
      <c r="B138" t="s">
        <v>32</v>
      </c>
      <c r="C138" s="59"/>
      <c r="D138" s="59"/>
      <c r="E138" s="59">
        <v>1.12E-2</v>
      </c>
      <c r="F138" s="59">
        <v>8.0999999999999996E-3</v>
      </c>
      <c r="G138" s="59">
        <v>6.4999999999999997E-3</v>
      </c>
      <c r="H138" s="59">
        <v>6.6E-3</v>
      </c>
      <c r="I138" s="59">
        <v>6.1000000000000004E-3</v>
      </c>
      <c r="J138" s="59">
        <v>5.3E-3</v>
      </c>
      <c r="K138" s="59"/>
      <c r="L138" s="59"/>
      <c r="M138" s="59"/>
      <c r="N138" s="59"/>
    </row>
    <row r="139" spans="1:14" x14ac:dyDescent="0.3">
      <c r="A139" t="s">
        <v>33</v>
      </c>
      <c r="B139" t="s">
        <v>34</v>
      </c>
      <c r="C139" s="59"/>
      <c r="D139" s="59"/>
      <c r="E139" s="59">
        <v>8.6999999999999994E-3</v>
      </c>
      <c r="F139" s="59">
        <v>8.8000000000000005E-3</v>
      </c>
      <c r="G139" s="59">
        <v>7.4000000000000003E-3</v>
      </c>
      <c r="H139" s="59">
        <v>5.4000000000000003E-3</v>
      </c>
      <c r="I139" s="59">
        <v>6.3E-3</v>
      </c>
      <c r="J139" s="59">
        <v>7.9000000000000008E-3</v>
      </c>
      <c r="K139" s="59"/>
      <c r="L139" s="59"/>
      <c r="M139" s="59"/>
      <c r="N139" s="59"/>
    </row>
    <row r="140" spans="1:14" x14ac:dyDescent="0.3">
      <c r="A140" t="s">
        <v>35</v>
      </c>
      <c r="B140" t="s">
        <v>36</v>
      </c>
      <c r="C140" s="59"/>
      <c r="D140" s="59"/>
      <c r="E140" s="59">
        <v>1.14E-2</v>
      </c>
      <c r="F140" s="59">
        <v>1.1299999999999999E-2</v>
      </c>
      <c r="G140" s="59">
        <v>7.9000000000000008E-3</v>
      </c>
      <c r="H140" s="59">
        <v>5.1999999999999998E-3</v>
      </c>
      <c r="I140" s="59">
        <v>4.4999999999999997E-3</v>
      </c>
      <c r="J140" s="59">
        <v>4.7000000000000002E-3</v>
      </c>
      <c r="K140" s="59"/>
      <c r="L140" s="59"/>
      <c r="M140" s="59"/>
      <c r="N140" s="59"/>
    </row>
    <row r="141" spans="1:14" x14ac:dyDescent="0.3">
      <c r="A141" t="s">
        <v>37</v>
      </c>
      <c r="B141" t="s">
        <v>38</v>
      </c>
      <c r="C141" s="59"/>
      <c r="D141" s="59"/>
      <c r="E141" s="59">
        <v>7.4000000000000003E-3</v>
      </c>
      <c r="F141" s="59">
        <v>7.1000000000000004E-3</v>
      </c>
      <c r="G141" s="59">
        <v>6.1000000000000004E-3</v>
      </c>
      <c r="H141" s="59">
        <v>7.6E-3</v>
      </c>
      <c r="I141" s="59">
        <v>8.3999999999999995E-3</v>
      </c>
      <c r="J141" s="59">
        <v>9.1999999999999998E-3</v>
      </c>
      <c r="K141" s="59"/>
      <c r="L141" s="59"/>
      <c r="M141" s="59"/>
      <c r="N141" s="59"/>
    </row>
    <row r="142" spans="1:14" x14ac:dyDescent="0.3">
      <c r="A142" t="s">
        <v>39</v>
      </c>
      <c r="B142" t="s">
        <v>40</v>
      </c>
      <c r="C142" s="59"/>
      <c r="D142" s="59"/>
      <c r="E142" s="59">
        <v>4.7000000000000002E-3</v>
      </c>
      <c r="F142" s="59">
        <v>4.8999999999999998E-3</v>
      </c>
      <c r="G142" s="59">
        <v>4.8999999999999998E-3</v>
      </c>
      <c r="H142" s="59">
        <v>8.0999999999999996E-3</v>
      </c>
      <c r="I142" s="59">
        <v>8.0000000000000002E-3</v>
      </c>
      <c r="J142" s="59">
        <v>7.1000000000000004E-3</v>
      </c>
      <c r="K142" s="59"/>
      <c r="L142" s="59"/>
      <c r="M142" s="59"/>
      <c r="N142" s="59"/>
    </row>
    <row r="143" spans="1:14" x14ac:dyDescent="0.3">
      <c r="A143" t="s">
        <v>41</v>
      </c>
      <c r="B143" t="s">
        <v>42</v>
      </c>
      <c r="C143" s="59"/>
      <c r="D143" s="59"/>
      <c r="E143" s="59">
        <v>4.1000000000000003E-3</v>
      </c>
      <c r="F143" s="59">
        <v>2.7000000000000001E-3</v>
      </c>
      <c r="G143" s="59">
        <v>2.8999999999999998E-3</v>
      </c>
      <c r="H143" s="59">
        <v>3.8999999999999998E-3</v>
      </c>
      <c r="I143" s="59">
        <v>5.1000000000000004E-3</v>
      </c>
      <c r="J143" s="59">
        <v>5.3E-3</v>
      </c>
      <c r="K143" s="59"/>
      <c r="L143" s="59"/>
      <c r="M143" s="59"/>
      <c r="N143" s="59"/>
    </row>
    <row r="144" spans="1:14" x14ac:dyDescent="0.3">
      <c r="A144" t="s">
        <v>43</v>
      </c>
      <c r="B144" t="s">
        <v>44</v>
      </c>
      <c r="C144" s="59"/>
      <c r="D144" s="59"/>
      <c r="E144" s="59">
        <v>8.2000000000000007E-3</v>
      </c>
      <c r="F144" s="59">
        <v>7.7999999999999996E-3</v>
      </c>
      <c r="G144" s="59">
        <v>7.3000000000000001E-3</v>
      </c>
      <c r="H144" s="59">
        <v>7.6E-3</v>
      </c>
      <c r="I144" s="59">
        <v>7.6E-3</v>
      </c>
      <c r="J144" s="59">
        <v>7.7999999999999996E-3</v>
      </c>
      <c r="K144" s="59"/>
      <c r="L144" s="59"/>
      <c r="M144" s="59"/>
      <c r="N144" s="59"/>
    </row>
    <row r="145" spans="1:14" x14ac:dyDescent="0.3">
      <c r="A145" t="s">
        <v>45</v>
      </c>
      <c r="B145" t="s">
        <v>46</v>
      </c>
      <c r="C145" s="59"/>
      <c r="D145" s="59"/>
      <c r="E145" s="59">
        <v>1.32E-2</v>
      </c>
      <c r="F145" s="59">
        <v>1.3100000000000001E-2</v>
      </c>
      <c r="G145" s="59">
        <v>1.2E-2</v>
      </c>
      <c r="H145" s="59">
        <v>1.14E-2</v>
      </c>
      <c r="I145" s="59">
        <v>1.03E-2</v>
      </c>
      <c r="J145" s="59">
        <v>1.0699999999999999E-2</v>
      </c>
      <c r="K145" s="59"/>
      <c r="L145" s="59"/>
      <c r="M145" s="59"/>
      <c r="N145" s="59"/>
    </row>
    <row r="146" spans="1:14" x14ac:dyDescent="0.3">
      <c r="A146" t="s">
        <v>47</v>
      </c>
      <c r="B146" t="s">
        <v>48</v>
      </c>
      <c r="C146" s="59"/>
      <c r="D146" s="59"/>
      <c r="E146" s="59">
        <v>1.1900000000000001E-2</v>
      </c>
      <c r="F146" s="59">
        <v>1.26E-2</v>
      </c>
      <c r="G146" s="59">
        <v>1.15E-2</v>
      </c>
      <c r="H146" s="59">
        <v>1.1900000000000001E-2</v>
      </c>
      <c r="I146" s="59">
        <v>1.14E-2</v>
      </c>
      <c r="J146" s="59">
        <v>1.06E-2</v>
      </c>
      <c r="K146" s="59"/>
      <c r="L146" s="59"/>
      <c r="M146" s="59"/>
      <c r="N146" s="59"/>
    </row>
    <row r="147" spans="1:14" x14ac:dyDescent="0.3">
      <c r="A147" t="s">
        <v>49</v>
      </c>
      <c r="B147" t="s">
        <v>50</v>
      </c>
      <c r="C147" s="59"/>
      <c r="D147" s="59"/>
      <c r="E147" s="59">
        <v>1.47E-2</v>
      </c>
      <c r="F147" s="59">
        <v>1.5100000000000001E-2</v>
      </c>
      <c r="G147" s="59">
        <v>1.32E-2</v>
      </c>
      <c r="H147" s="59">
        <v>1.29E-2</v>
      </c>
      <c r="I147" s="59">
        <v>1.11E-2</v>
      </c>
      <c r="J147" s="59">
        <v>1.12E-2</v>
      </c>
      <c r="K147" s="59"/>
      <c r="L147" s="59"/>
      <c r="M147" s="59"/>
      <c r="N147" s="59"/>
    </row>
    <row r="148" spans="1:14" x14ac:dyDescent="0.3">
      <c r="A148" t="s">
        <v>51</v>
      </c>
      <c r="B148" t="s">
        <v>52</v>
      </c>
      <c r="C148" s="59"/>
      <c r="D148" s="59"/>
      <c r="E148" s="59">
        <v>9.4999999999999998E-3</v>
      </c>
      <c r="F148" s="59">
        <v>9.2999999999999992E-3</v>
      </c>
      <c r="G148" s="59">
        <v>8.6E-3</v>
      </c>
      <c r="H148" s="59">
        <v>1.37E-2</v>
      </c>
      <c r="I148" s="59">
        <v>1.37E-2</v>
      </c>
      <c r="J148" s="59">
        <v>1.3299999999999999E-2</v>
      </c>
      <c r="K148" s="59"/>
      <c r="L148" s="59"/>
      <c r="M148" s="59"/>
      <c r="N148" s="59"/>
    </row>
    <row r="149" spans="1:14" x14ac:dyDescent="0.3">
      <c r="A149" t="s">
        <v>53</v>
      </c>
      <c r="B149" t="s">
        <v>54</v>
      </c>
      <c r="C149" s="59"/>
      <c r="D149" s="59"/>
      <c r="E149" s="59">
        <v>8.6999999999999994E-3</v>
      </c>
      <c r="F149" s="59">
        <v>8.6E-3</v>
      </c>
      <c r="G149" s="59">
        <v>8.2000000000000007E-3</v>
      </c>
      <c r="H149" s="59">
        <v>8.3000000000000001E-3</v>
      </c>
      <c r="I149" s="59">
        <v>8.6E-3</v>
      </c>
      <c r="J149" s="59">
        <v>9.1999999999999998E-3</v>
      </c>
      <c r="K149" s="59"/>
      <c r="L149" s="59"/>
      <c r="M149" s="59"/>
      <c r="N149" s="59"/>
    </row>
    <row r="150" spans="1:14" x14ac:dyDescent="0.3">
      <c r="A150" t="s">
        <v>55</v>
      </c>
      <c r="B150" t="s">
        <v>56</v>
      </c>
      <c r="C150" s="59"/>
      <c r="D150" s="59"/>
      <c r="E150" s="59">
        <v>2.2700000000000001E-2</v>
      </c>
      <c r="F150" s="59">
        <v>2.0500000000000001E-2</v>
      </c>
      <c r="G150" s="59">
        <v>2.12E-2</v>
      </c>
      <c r="H150" s="59">
        <v>2.1600000000000001E-2</v>
      </c>
      <c r="I150" s="59">
        <v>2.1999999999999999E-2</v>
      </c>
      <c r="J150" s="59">
        <v>2.3800000000000002E-2</v>
      </c>
      <c r="K150" s="59"/>
      <c r="L150" s="59"/>
      <c r="M150" s="59"/>
      <c r="N150" s="59"/>
    </row>
    <row r="151" spans="1:14" x14ac:dyDescent="0.3">
      <c r="A151" t="s">
        <v>57</v>
      </c>
      <c r="B151" t="s">
        <v>58</v>
      </c>
      <c r="C151" s="59"/>
      <c r="D151" s="59"/>
      <c r="E151" s="59">
        <v>8.6E-3</v>
      </c>
      <c r="F151" s="59">
        <v>9.9000000000000008E-3</v>
      </c>
      <c r="G151" s="59">
        <v>8.3000000000000001E-3</v>
      </c>
      <c r="H151" s="59">
        <v>9.1999999999999998E-3</v>
      </c>
      <c r="I151" s="59">
        <v>1.2999999999999999E-2</v>
      </c>
      <c r="J151" s="59">
        <v>8.3000000000000001E-3</v>
      </c>
      <c r="K151" s="59"/>
      <c r="L151" s="59"/>
      <c r="M151" s="59"/>
      <c r="N151" s="59"/>
    </row>
    <row r="152" spans="1:14" x14ac:dyDescent="0.3">
      <c r="A152" t="s">
        <v>59</v>
      </c>
      <c r="B152" t="s">
        <v>60</v>
      </c>
      <c r="C152" s="59"/>
      <c r="D152" s="59"/>
      <c r="E152" s="59">
        <v>6.6E-3</v>
      </c>
      <c r="F152" s="59">
        <v>6.0000000000000001E-3</v>
      </c>
      <c r="G152" s="59">
        <v>5.8999999999999999E-3</v>
      </c>
      <c r="H152" s="59">
        <v>6.4000000000000003E-3</v>
      </c>
      <c r="I152" s="59">
        <v>6.4000000000000003E-3</v>
      </c>
      <c r="J152" s="59">
        <v>6.7999999999999996E-3</v>
      </c>
      <c r="K152" s="59"/>
      <c r="L152" s="59"/>
      <c r="M152" s="59"/>
      <c r="N152" s="59"/>
    </row>
    <row r="153" spans="1:14" x14ac:dyDescent="0.3">
      <c r="A153" t="s">
        <v>61</v>
      </c>
      <c r="B153" t="s">
        <v>62</v>
      </c>
      <c r="C153" s="59"/>
      <c r="D153" s="59"/>
      <c r="E153" s="59">
        <v>7.1999999999999998E-3</v>
      </c>
      <c r="F153" s="59">
        <v>8.3999999999999995E-3</v>
      </c>
      <c r="G153" s="59">
        <v>8.8000000000000005E-3</v>
      </c>
      <c r="H153" s="59">
        <v>1.4999999999999999E-2</v>
      </c>
      <c r="I153" s="59">
        <v>1.7899999999999999E-2</v>
      </c>
      <c r="J153" s="59">
        <v>2.2200000000000001E-2</v>
      </c>
      <c r="K153" s="59"/>
      <c r="L153" s="59"/>
      <c r="M153" s="59"/>
      <c r="N153" s="59"/>
    </row>
    <row r="154" spans="1:14" x14ac:dyDescent="0.3">
      <c r="A154" t="s">
        <v>63</v>
      </c>
      <c r="B154" t="s">
        <v>64</v>
      </c>
      <c r="C154" s="59"/>
      <c r="D154" s="59"/>
      <c r="E154" s="59">
        <v>5.4999999999999997E-3</v>
      </c>
      <c r="F154" s="59">
        <v>6.8999999999999999E-3</v>
      </c>
      <c r="G154" s="59">
        <v>6.4000000000000003E-3</v>
      </c>
      <c r="H154" s="59">
        <v>4.5999999999999999E-3</v>
      </c>
      <c r="I154" s="59">
        <v>5.8999999999999999E-3</v>
      </c>
      <c r="J154" s="59">
        <v>7.1999999999999998E-3</v>
      </c>
      <c r="K154" s="59"/>
      <c r="L154" s="59"/>
      <c r="M154" s="59"/>
      <c r="N154" s="59"/>
    </row>
    <row r="155" spans="1:14" x14ac:dyDescent="0.3">
      <c r="A155" t="s">
        <v>65</v>
      </c>
      <c r="B155" t="s">
        <v>66</v>
      </c>
      <c r="C155" s="59"/>
      <c r="D155" s="59"/>
      <c r="E155" s="59">
        <v>5.8999999999999999E-3</v>
      </c>
      <c r="F155" s="59">
        <v>6.4999999999999997E-3</v>
      </c>
      <c r="G155" s="59">
        <v>6.1000000000000004E-3</v>
      </c>
      <c r="H155" s="59">
        <v>7.1000000000000004E-3</v>
      </c>
      <c r="I155" s="59">
        <v>9.7999999999999997E-3</v>
      </c>
      <c r="J155" s="59">
        <v>1.0999999999999999E-2</v>
      </c>
      <c r="K155" s="59"/>
      <c r="L155" s="59"/>
      <c r="M155" s="59"/>
      <c r="N155" s="59"/>
    </row>
    <row r="156" spans="1:14" x14ac:dyDescent="0.3">
      <c r="A156" t="s">
        <v>67</v>
      </c>
      <c r="B156" t="s">
        <v>68</v>
      </c>
      <c r="C156" s="59"/>
      <c r="D156" s="59"/>
      <c r="E156" s="59">
        <v>4.5999999999999999E-3</v>
      </c>
      <c r="F156" s="59">
        <v>3.3999999999999998E-3</v>
      </c>
      <c r="G156" s="59">
        <v>4.1000000000000003E-3</v>
      </c>
      <c r="H156" s="59">
        <v>4.7999999999999996E-3</v>
      </c>
      <c r="I156" s="59">
        <v>3.3999999999999998E-3</v>
      </c>
      <c r="J156" s="59">
        <v>2.5000000000000001E-3</v>
      </c>
      <c r="K156" s="59"/>
      <c r="L156" s="59"/>
      <c r="M156" s="59"/>
      <c r="N156" s="59"/>
    </row>
    <row r="157" spans="1:14" x14ac:dyDescent="0.3">
      <c r="A157" t="s">
        <v>69</v>
      </c>
      <c r="B157" t="s">
        <v>70</v>
      </c>
      <c r="C157" s="59"/>
      <c r="D157" s="59"/>
      <c r="E157" s="59">
        <v>1.6400000000000001E-2</v>
      </c>
      <c r="F157" s="59">
        <v>1.55E-2</v>
      </c>
      <c r="G157" s="59">
        <v>1.5299999999999999E-2</v>
      </c>
      <c r="H157" s="59">
        <v>7.4999999999999997E-3</v>
      </c>
      <c r="I157" s="59">
        <v>7.4000000000000003E-3</v>
      </c>
      <c r="J157" s="59">
        <v>8.0000000000000002E-3</v>
      </c>
      <c r="K157" s="59"/>
      <c r="L157" s="59"/>
      <c r="M157" s="59"/>
      <c r="N157" s="59"/>
    </row>
    <row r="158" spans="1:14" x14ac:dyDescent="0.3">
      <c r="A158" t="s">
        <v>71</v>
      </c>
      <c r="B158" t="s">
        <v>72</v>
      </c>
      <c r="C158" s="59"/>
      <c r="D158" s="59"/>
      <c r="E158" s="59">
        <v>8.5000000000000006E-3</v>
      </c>
      <c r="F158" s="59">
        <v>8.6999999999999994E-3</v>
      </c>
      <c r="G158" s="59">
        <v>8.3999999999999995E-3</v>
      </c>
      <c r="H158" s="59">
        <v>7.7999999999999996E-3</v>
      </c>
      <c r="I158" s="59">
        <v>7.7000000000000002E-3</v>
      </c>
      <c r="J158" s="59">
        <v>8.2000000000000007E-3</v>
      </c>
      <c r="K158" s="59"/>
      <c r="L158" s="59"/>
      <c r="M158" s="59"/>
      <c r="N158" s="59"/>
    </row>
    <row r="159" spans="1:14" x14ac:dyDescent="0.3">
      <c r="A159" t="s">
        <v>73</v>
      </c>
      <c r="B159" t="s">
        <v>74</v>
      </c>
      <c r="C159" s="59"/>
      <c r="D159" s="59"/>
      <c r="E159" s="59">
        <v>3.7000000000000002E-3</v>
      </c>
      <c r="F159" s="59">
        <v>6.1000000000000004E-3</v>
      </c>
      <c r="G159" s="59">
        <v>8.0999999999999996E-3</v>
      </c>
      <c r="H159" s="59">
        <v>7.4000000000000003E-3</v>
      </c>
      <c r="I159" s="59">
        <v>7.7999999999999996E-3</v>
      </c>
      <c r="J159" s="59">
        <v>8.9999999999999993E-3</v>
      </c>
      <c r="K159" s="59"/>
      <c r="L159" s="59"/>
      <c r="M159" s="59"/>
      <c r="N159" s="59"/>
    </row>
    <row r="160" spans="1:14" x14ac:dyDescent="0.3">
      <c r="A160" t="s">
        <v>75</v>
      </c>
      <c r="B160" t="s">
        <v>76</v>
      </c>
      <c r="C160" s="59"/>
      <c r="D160" s="59"/>
      <c r="E160" s="59">
        <v>1.78E-2</v>
      </c>
      <c r="F160" s="59">
        <v>2.35E-2</v>
      </c>
      <c r="G160" s="59">
        <v>2.1499999999999998E-2</v>
      </c>
      <c r="H160" s="59">
        <v>2.4199999999999999E-2</v>
      </c>
      <c r="I160" s="59">
        <v>2.3599999999999999E-2</v>
      </c>
      <c r="J160" s="59">
        <v>2.2599999999999999E-2</v>
      </c>
      <c r="K160" s="59"/>
      <c r="L160" s="59"/>
      <c r="M160" s="59"/>
      <c r="N160" s="59"/>
    </row>
    <row r="161" spans="1:14" x14ac:dyDescent="0.3">
      <c r="A161" t="s">
        <v>77</v>
      </c>
      <c r="B161" t="s">
        <v>78</v>
      </c>
      <c r="C161" s="59"/>
      <c r="D161" s="59"/>
      <c r="E161" s="59">
        <v>4.4999999999999997E-3</v>
      </c>
      <c r="F161" s="59">
        <v>7.3000000000000001E-3</v>
      </c>
      <c r="G161" s="59">
        <v>8.6E-3</v>
      </c>
      <c r="H161" s="59">
        <v>8.3000000000000001E-3</v>
      </c>
      <c r="I161" s="59">
        <v>8.9999999999999993E-3</v>
      </c>
      <c r="J161" s="59">
        <v>8.3000000000000001E-3</v>
      </c>
      <c r="K161" s="59"/>
      <c r="L161" s="59"/>
      <c r="M161" s="59"/>
      <c r="N161" s="59"/>
    </row>
    <row r="162" spans="1:14" x14ac:dyDescent="0.3">
      <c r="A162" t="s">
        <v>79</v>
      </c>
      <c r="B162" t="s">
        <v>80</v>
      </c>
      <c r="C162" s="59"/>
      <c r="D162" s="59"/>
      <c r="E162" s="59">
        <v>1.2500000000000001E-2</v>
      </c>
      <c r="F162" s="59">
        <v>1.1900000000000001E-2</v>
      </c>
      <c r="G162" s="59">
        <v>9.9000000000000008E-3</v>
      </c>
      <c r="H162" s="59">
        <v>1.15E-2</v>
      </c>
      <c r="I162" s="59">
        <v>1.06E-2</v>
      </c>
      <c r="J162" s="59">
        <v>1.5100000000000001E-2</v>
      </c>
      <c r="K162" s="59"/>
      <c r="L162" s="59"/>
      <c r="M162" s="59"/>
      <c r="N162" s="59"/>
    </row>
    <row r="163" spans="1:14" x14ac:dyDescent="0.3">
      <c r="A163" t="s">
        <v>81</v>
      </c>
      <c r="B163" t="s">
        <v>82</v>
      </c>
      <c r="C163" s="59"/>
      <c r="D163" s="59"/>
      <c r="E163" s="59">
        <v>4.0000000000000001E-3</v>
      </c>
      <c r="F163" s="59">
        <v>4.7000000000000002E-3</v>
      </c>
      <c r="G163" s="59">
        <v>4.7999999999999996E-3</v>
      </c>
      <c r="H163" s="59">
        <v>4.1000000000000003E-3</v>
      </c>
      <c r="I163" s="59">
        <v>4.4000000000000003E-3</v>
      </c>
      <c r="J163" s="59">
        <v>5.4000000000000003E-3</v>
      </c>
      <c r="K163" s="59"/>
      <c r="L163" s="59"/>
      <c r="M163" s="59"/>
      <c r="N163" s="59"/>
    </row>
    <row r="164" spans="1:14" x14ac:dyDescent="0.3">
      <c r="A164" t="s">
        <v>83</v>
      </c>
      <c r="B164" t="s">
        <v>84</v>
      </c>
      <c r="C164" s="59"/>
      <c r="D164" s="59"/>
      <c r="E164" s="59">
        <v>8.8999999999999999E-3</v>
      </c>
      <c r="F164" s="59">
        <v>8.2000000000000007E-3</v>
      </c>
      <c r="G164" s="59">
        <v>7.6E-3</v>
      </c>
      <c r="H164" s="59">
        <v>7.1999999999999998E-3</v>
      </c>
      <c r="I164" s="59">
        <v>7.0000000000000001E-3</v>
      </c>
      <c r="J164" s="59">
        <v>7.7000000000000002E-3</v>
      </c>
      <c r="K164" s="59"/>
      <c r="L164" s="59"/>
      <c r="M164" s="59"/>
      <c r="N164" s="59"/>
    </row>
    <row r="165" spans="1:14" x14ac:dyDescent="0.3">
      <c r="A165" t="s">
        <v>85</v>
      </c>
      <c r="B165" t="s">
        <v>86</v>
      </c>
      <c r="C165" s="59"/>
      <c r="D165" s="59"/>
      <c r="E165" s="59">
        <v>7.3000000000000001E-3</v>
      </c>
      <c r="F165" s="59">
        <v>7.3000000000000001E-3</v>
      </c>
      <c r="G165" s="59">
        <v>6.7000000000000002E-3</v>
      </c>
      <c r="H165" s="59">
        <v>6.3E-3</v>
      </c>
      <c r="I165" s="59">
        <v>6.4999999999999997E-3</v>
      </c>
      <c r="J165" s="59">
        <v>7.7000000000000002E-3</v>
      </c>
      <c r="K165" s="59"/>
      <c r="L165" s="59"/>
      <c r="M165" s="59"/>
      <c r="N165" s="59"/>
    </row>
    <row r="166" spans="1:14" x14ac:dyDescent="0.3">
      <c r="A166" t="s">
        <v>87</v>
      </c>
      <c r="B166" t="s">
        <v>88</v>
      </c>
      <c r="C166" s="59"/>
      <c r="D166" s="59"/>
      <c r="E166" s="59">
        <v>9.2999999999999992E-3</v>
      </c>
      <c r="F166" s="59">
        <v>9.7999999999999997E-3</v>
      </c>
      <c r="G166" s="59">
        <v>1.2200000000000001E-2</v>
      </c>
      <c r="H166" s="59">
        <v>1.44E-2</v>
      </c>
      <c r="I166" s="59">
        <v>1.55E-2</v>
      </c>
      <c r="J166" s="59">
        <v>1.55E-2</v>
      </c>
      <c r="K166" s="59"/>
      <c r="L166" s="59"/>
      <c r="M166" s="59"/>
      <c r="N166" s="59"/>
    </row>
    <row r="167" spans="1:14" x14ac:dyDescent="0.3">
      <c r="A167" t="s">
        <v>89</v>
      </c>
      <c r="B167" t="s">
        <v>90</v>
      </c>
      <c r="C167" s="59"/>
      <c r="D167" s="59"/>
      <c r="E167" s="59">
        <v>7.1999999999999998E-3</v>
      </c>
      <c r="F167" s="59">
        <v>7.7000000000000002E-3</v>
      </c>
      <c r="G167" s="59">
        <v>8.0000000000000002E-3</v>
      </c>
      <c r="H167" s="59">
        <v>7.6E-3</v>
      </c>
      <c r="I167" s="59">
        <v>7.9000000000000008E-3</v>
      </c>
      <c r="J167" s="59">
        <v>8.6999999999999994E-3</v>
      </c>
      <c r="K167" s="59"/>
      <c r="L167" s="59"/>
      <c r="M167" s="59"/>
      <c r="N167" s="59"/>
    </row>
    <row r="168" spans="1:14" x14ac:dyDescent="0.3">
      <c r="A168" t="s">
        <v>91</v>
      </c>
      <c r="B168" t="s">
        <v>92</v>
      </c>
      <c r="C168" s="59"/>
      <c r="D168" s="59"/>
      <c r="E168" s="59">
        <v>3.0999999999999999E-3</v>
      </c>
      <c r="F168" s="59">
        <v>3.3999999999999998E-3</v>
      </c>
      <c r="G168" s="59">
        <v>3.8999999999999998E-3</v>
      </c>
      <c r="H168" s="59">
        <v>1.0800000000000001E-2</v>
      </c>
      <c r="I168" s="59">
        <v>1.12E-2</v>
      </c>
      <c r="J168" s="59">
        <v>7.9000000000000008E-3</v>
      </c>
      <c r="K168" s="59"/>
      <c r="L168" s="59"/>
      <c r="M168" s="59"/>
      <c r="N168" s="59"/>
    </row>
    <row r="169" spans="1:14" x14ac:dyDescent="0.3">
      <c r="A169" t="s">
        <v>93</v>
      </c>
      <c r="B169" t="s">
        <v>94</v>
      </c>
      <c r="C169" s="59"/>
      <c r="D169" s="59"/>
      <c r="E169" s="59">
        <v>5.0000000000000001E-3</v>
      </c>
      <c r="F169" s="59">
        <v>5.0000000000000001E-3</v>
      </c>
      <c r="G169" s="59">
        <v>4.7999999999999996E-3</v>
      </c>
      <c r="H169" s="59">
        <v>6.7000000000000002E-3</v>
      </c>
      <c r="I169" s="59">
        <v>6.4999999999999997E-3</v>
      </c>
      <c r="J169" s="59">
        <v>3.8E-3</v>
      </c>
      <c r="K169" s="59"/>
      <c r="L169" s="59"/>
      <c r="M169" s="59"/>
      <c r="N169" s="59"/>
    </row>
    <row r="170" spans="1:14" x14ac:dyDescent="0.3">
      <c r="A170" t="s">
        <v>95</v>
      </c>
      <c r="B170" t="s">
        <v>96</v>
      </c>
      <c r="C170" s="59"/>
      <c r="D170" s="59"/>
      <c r="E170" s="59">
        <v>8.2000000000000007E-3</v>
      </c>
      <c r="F170" s="59">
        <v>6.6E-3</v>
      </c>
      <c r="G170" s="59">
        <v>7.7000000000000002E-3</v>
      </c>
      <c r="H170" s="59">
        <v>7.0000000000000001E-3</v>
      </c>
      <c r="I170" s="59">
        <v>7.1000000000000004E-3</v>
      </c>
      <c r="J170" s="59">
        <v>7.7999999999999996E-3</v>
      </c>
      <c r="K170" s="59"/>
      <c r="L170" s="59"/>
      <c r="M170" s="59"/>
      <c r="N170" s="59"/>
    </row>
    <row r="171" spans="1:14" x14ac:dyDescent="0.3">
      <c r="A171" t="s">
        <v>97</v>
      </c>
      <c r="B171" t="s">
        <v>98</v>
      </c>
      <c r="C171" s="59"/>
      <c r="D171" s="59"/>
      <c r="E171" s="59">
        <v>5.7000000000000002E-3</v>
      </c>
      <c r="F171" s="59">
        <v>5.5999999999999999E-3</v>
      </c>
      <c r="G171" s="59">
        <v>5.4000000000000003E-3</v>
      </c>
      <c r="H171" s="59">
        <v>5.8999999999999999E-3</v>
      </c>
      <c r="I171" s="59">
        <v>5.8999999999999999E-3</v>
      </c>
      <c r="J171" s="59">
        <v>6.1000000000000004E-3</v>
      </c>
      <c r="K171" s="59"/>
      <c r="L171" s="59"/>
      <c r="M171" s="59"/>
      <c r="N171" s="59"/>
    </row>
    <row r="172" spans="1:14" x14ac:dyDescent="0.3">
      <c r="A172" t="s">
        <v>99</v>
      </c>
      <c r="B172" t="s">
        <v>100</v>
      </c>
      <c r="C172" s="59"/>
      <c r="D172" s="59"/>
      <c r="E172" s="59">
        <v>6.6E-3</v>
      </c>
      <c r="F172" s="59">
        <v>6.3E-3</v>
      </c>
      <c r="G172" s="59">
        <v>6.1000000000000004E-3</v>
      </c>
      <c r="H172" s="59">
        <v>6.7999999999999996E-3</v>
      </c>
      <c r="I172" s="59">
        <v>6.7000000000000002E-3</v>
      </c>
      <c r="J172" s="59">
        <v>7.1999999999999998E-3</v>
      </c>
      <c r="K172" s="59"/>
      <c r="L172" s="59"/>
      <c r="M172" s="59"/>
      <c r="N172" s="59"/>
    </row>
    <row r="173" spans="1:14" x14ac:dyDescent="0.3">
      <c r="A173" t="s">
        <v>101</v>
      </c>
      <c r="B173" t="s">
        <v>102</v>
      </c>
      <c r="C173" s="59"/>
      <c r="D173" s="59"/>
      <c r="E173" s="59">
        <v>4.8999999999999998E-3</v>
      </c>
      <c r="F173" s="59">
        <v>5.3E-3</v>
      </c>
      <c r="G173" s="59">
        <v>5.0000000000000001E-3</v>
      </c>
      <c r="H173" s="59">
        <v>5.8999999999999999E-3</v>
      </c>
      <c r="I173" s="59">
        <v>5.8999999999999999E-3</v>
      </c>
      <c r="J173" s="59">
        <v>6.4000000000000003E-3</v>
      </c>
      <c r="K173" s="59"/>
      <c r="L173" s="59"/>
      <c r="M173" s="59"/>
      <c r="N173" s="59"/>
    </row>
    <row r="174" spans="1:14" x14ac:dyDescent="0.3">
      <c r="A174" t="s">
        <v>103</v>
      </c>
      <c r="B174" t="s">
        <v>104</v>
      </c>
      <c r="C174" s="59"/>
      <c r="D174" s="59"/>
      <c r="E174" s="59">
        <v>3.7000000000000002E-3</v>
      </c>
      <c r="F174" s="59">
        <v>3.5999999999999999E-3</v>
      </c>
      <c r="G174" s="59">
        <v>3.3999999999999998E-3</v>
      </c>
      <c r="H174" s="59">
        <v>3.5999999999999999E-3</v>
      </c>
      <c r="I174" s="59">
        <v>3.7000000000000002E-3</v>
      </c>
      <c r="J174" s="59">
        <v>4.0000000000000001E-3</v>
      </c>
      <c r="K174" s="59"/>
      <c r="L174" s="59"/>
      <c r="M174" s="59"/>
      <c r="N174" s="59"/>
    </row>
    <row r="175" spans="1:14" x14ac:dyDescent="0.3">
      <c r="A175" t="s">
        <v>105</v>
      </c>
      <c r="B175" t="s">
        <v>106</v>
      </c>
      <c r="C175" s="59"/>
      <c r="D175" s="59"/>
      <c r="E175" s="59">
        <v>5.5999999999999999E-3</v>
      </c>
      <c r="F175" s="59">
        <v>5.5999999999999999E-3</v>
      </c>
      <c r="G175" s="59">
        <v>5.5999999999999999E-3</v>
      </c>
      <c r="H175" s="59">
        <v>5.3E-3</v>
      </c>
      <c r="I175" s="59">
        <v>5.4000000000000003E-3</v>
      </c>
      <c r="J175" s="59">
        <v>6.4000000000000003E-3</v>
      </c>
      <c r="K175" s="59"/>
      <c r="L175" s="59"/>
      <c r="M175" s="59"/>
      <c r="N175" s="59"/>
    </row>
    <row r="176" spans="1:14" x14ac:dyDescent="0.3">
      <c r="A176" t="s">
        <v>107</v>
      </c>
      <c r="B176" t="s">
        <v>108</v>
      </c>
      <c r="C176" s="59"/>
      <c r="D176" s="59"/>
      <c r="E176" s="59">
        <v>6.7999999999999996E-3</v>
      </c>
      <c r="F176" s="59">
        <v>5.7000000000000002E-3</v>
      </c>
      <c r="G176" s="59">
        <v>5.1000000000000004E-3</v>
      </c>
      <c r="H176" s="59">
        <v>1.01E-2</v>
      </c>
      <c r="I176" s="59">
        <v>9.7999999999999997E-3</v>
      </c>
      <c r="J176" s="59">
        <v>1.11E-2</v>
      </c>
      <c r="K176" s="59"/>
      <c r="L176" s="59"/>
      <c r="M176" s="59"/>
      <c r="N176" s="59"/>
    </row>
    <row r="177" spans="1:14" x14ac:dyDescent="0.3">
      <c r="A177" t="s">
        <v>109</v>
      </c>
      <c r="B177" t="s">
        <v>110</v>
      </c>
      <c r="C177" s="59"/>
      <c r="D177" s="59"/>
      <c r="E177" s="59">
        <v>5.4000000000000003E-3</v>
      </c>
      <c r="F177" s="59">
        <v>5.8999999999999999E-3</v>
      </c>
      <c r="G177" s="59">
        <v>6.4000000000000003E-3</v>
      </c>
      <c r="H177" s="59">
        <v>8.0000000000000002E-3</v>
      </c>
      <c r="I177" s="59">
        <v>7.7999999999999996E-3</v>
      </c>
      <c r="J177" s="59">
        <v>7.4999999999999997E-3</v>
      </c>
      <c r="K177" s="59"/>
      <c r="L177" s="59"/>
      <c r="M177" s="59"/>
      <c r="N177" s="59"/>
    </row>
    <row r="178" spans="1:14" x14ac:dyDescent="0.3">
      <c r="A178" t="s">
        <v>111</v>
      </c>
      <c r="B178" t="s">
        <v>112</v>
      </c>
      <c r="C178" s="59"/>
      <c r="D178" s="59"/>
      <c r="E178" s="59">
        <v>1.46E-2</v>
      </c>
      <c r="F178" s="59">
        <v>1.21E-2</v>
      </c>
      <c r="G178" s="59">
        <v>1.0800000000000001E-2</v>
      </c>
      <c r="H178" s="59">
        <v>1.43E-2</v>
      </c>
      <c r="I178" s="59">
        <v>1.43E-2</v>
      </c>
      <c r="J178" s="59">
        <v>1.3299999999999999E-2</v>
      </c>
      <c r="K178" s="59"/>
      <c r="L178" s="59"/>
      <c r="M178" s="59"/>
      <c r="N178" s="59"/>
    </row>
    <row r="179" spans="1:14" x14ac:dyDescent="0.3">
      <c r="A179" t="s">
        <v>113</v>
      </c>
      <c r="B179" t="s">
        <v>114</v>
      </c>
      <c r="C179" s="59"/>
      <c r="D179" s="59"/>
      <c r="E179" s="59">
        <v>7.7000000000000002E-3</v>
      </c>
      <c r="F179" s="59">
        <v>8.5000000000000006E-3</v>
      </c>
      <c r="G179" s="59">
        <v>8.5000000000000006E-3</v>
      </c>
      <c r="H179" s="59">
        <v>1.06E-2</v>
      </c>
      <c r="I179" s="59">
        <v>1.01E-2</v>
      </c>
      <c r="J179" s="59">
        <v>1.04E-2</v>
      </c>
      <c r="K179" s="59"/>
      <c r="L179" s="59"/>
      <c r="M179" s="59"/>
      <c r="N179" s="59"/>
    </row>
    <row r="180" spans="1:14" x14ac:dyDescent="0.3">
      <c r="A180" t="s">
        <v>115</v>
      </c>
      <c r="B180" t="s">
        <v>116</v>
      </c>
      <c r="C180" s="59"/>
      <c r="D180" s="59"/>
      <c r="E180" s="59">
        <v>6.6E-3</v>
      </c>
      <c r="F180" s="59">
        <v>7.1000000000000004E-3</v>
      </c>
      <c r="G180" s="59">
        <v>7.0000000000000001E-3</v>
      </c>
      <c r="H180" s="59">
        <v>9.5999999999999992E-3</v>
      </c>
      <c r="I180" s="59">
        <v>1.01E-2</v>
      </c>
      <c r="J180" s="59">
        <v>1.0200000000000001E-2</v>
      </c>
      <c r="K180" s="59"/>
      <c r="L180" s="59"/>
      <c r="M180" s="59"/>
      <c r="N180" s="59"/>
    </row>
    <row r="181" spans="1:14" x14ac:dyDescent="0.3">
      <c r="A181" t="s">
        <v>117</v>
      </c>
      <c r="B181" t="s">
        <v>118</v>
      </c>
      <c r="C181" s="59"/>
      <c r="D181" s="59"/>
      <c r="E181" s="59">
        <v>6.4000000000000003E-3</v>
      </c>
      <c r="F181" s="59">
        <v>6.1999999999999998E-3</v>
      </c>
      <c r="G181" s="59">
        <v>5.7000000000000002E-3</v>
      </c>
      <c r="H181" s="59">
        <v>9.4000000000000004E-3</v>
      </c>
      <c r="I181" s="59">
        <v>8.6E-3</v>
      </c>
      <c r="J181" s="59">
        <v>1.03E-2</v>
      </c>
      <c r="K181" s="59"/>
      <c r="L181" s="59"/>
      <c r="M181" s="59"/>
      <c r="N181" s="59"/>
    </row>
    <row r="182" spans="1:14" x14ac:dyDescent="0.3">
      <c r="A182" t="s">
        <v>119</v>
      </c>
      <c r="B182" t="s">
        <v>120</v>
      </c>
      <c r="C182" s="59"/>
      <c r="D182" s="59"/>
      <c r="E182" s="59">
        <v>1.14E-2</v>
      </c>
      <c r="F182" s="59">
        <v>1.15E-2</v>
      </c>
      <c r="G182" s="59">
        <v>1.15E-2</v>
      </c>
      <c r="H182" s="59">
        <v>1.5800000000000002E-2</v>
      </c>
      <c r="I182" s="59">
        <v>1.6199999999999999E-2</v>
      </c>
      <c r="J182" s="59">
        <v>2.0799999999999999E-2</v>
      </c>
      <c r="K182" s="59"/>
      <c r="L182" s="59"/>
      <c r="M182" s="59"/>
      <c r="N182" s="59"/>
    </row>
    <row r="183" spans="1:14" x14ac:dyDescent="0.3">
      <c r="A183" t="s">
        <v>121</v>
      </c>
      <c r="B183" t="s">
        <v>122</v>
      </c>
      <c r="C183" s="59"/>
      <c r="D183" s="59"/>
      <c r="E183" s="59">
        <v>1.0200000000000001E-2</v>
      </c>
      <c r="F183" s="59">
        <v>1.15E-2</v>
      </c>
      <c r="G183" s="59">
        <v>1.26E-2</v>
      </c>
      <c r="H183" s="59">
        <v>1.35E-2</v>
      </c>
      <c r="I183" s="59">
        <v>1.2200000000000001E-2</v>
      </c>
      <c r="J183" s="59">
        <v>1.34E-2</v>
      </c>
      <c r="K183" s="59"/>
      <c r="L183" s="59"/>
      <c r="M183" s="59"/>
      <c r="N183" s="59"/>
    </row>
    <row r="184" spans="1:14" x14ac:dyDescent="0.3">
      <c r="A184" t="s">
        <v>123</v>
      </c>
      <c r="B184" t="s">
        <v>124</v>
      </c>
      <c r="C184" s="59"/>
      <c r="D184" s="59"/>
      <c r="E184" s="59">
        <v>5.7999999999999996E-3</v>
      </c>
      <c r="F184" s="59">
        <v>6.3E-3</v>
      </c>
      <c r="G184" s="59">
        <v>6.1999999999999998E-3</v>
      </c>
      <c r="H184" s="59">
        <v>7.3000000000000001E-3</v>
      </c>
      <c r="I184" s="59">
        <v>7.1000000000000004E-3</v>
      </c>
      <c r="J184" s="59">
        <v>8.3999999999999995E-3</v>
      </c>
      <c r="K184" s="59"/>
      <c r="L184" s="59"/>
      <c r="M184" s="59"/>
      <c r="N184" s="59"/>
    </row>
    <row r="185" spans="1:14" x14ac:dyDescent="0.3">
      <c r="A185" t="s">
        <v>125</v>
      </c>
      <c r="B185" t="s">
        <v>126</v>
      </c>
      <c r="C185" s="59"/>
      <c r="D185" s="59"/>
      <c r="E185" s="59">
        <v>1.0999999999999999E-2</v>
      </c>
      <c r="F185" s="59">
        <v>0.01</v>
      </c>
      <c r="G185" s="59">
        <v>9.4000000000000004E-3</v>
      </c>
      <c r="H185" s="59">
        <v>8.8999999999999999E-3</v>
      </c>
      <c r="I185" s="59">
        <v>9.4999999999999998E-3</v>
      </c>
      <c r="J185" s="59">
        <v>9.4000000000000004E-3</v>
      </c>
      <c r="K185" s="59"/>
      <c r="L185" s="59"/>
      <c r="M185" s="59"/>
      <c r="N185" s="59"/>
    </row>
    <row r="186" spans="1:14" x14ac:dyDescent="0.3">
      <c r="A186" t="s">
        <v>127</v>
      </c>
      <c r="B186" t="s">
        <v>128</v>
      </c>
      <c r="C186" s="59"/>
      <c r="D186" s="59"/>
      <c r="E186" s="59">
        <v>2.0400000000000001E-2</v>
      </c>
      <c r="F186" s="59">
        <v>2.0799999999999999E-2</v>
      </c>
      <c r="G186" s="59">
        <v>1.8200000000000001E-2</v>
      </c>
      <c r="H186" s="59">
        <v>1.67E-2</v>
      </c>
      <c r="I186" s="59">
        <v>1.41E-2</v>
      </c>
      <c r="J186" s="59">
        <v>1.2E-2</v>
      </c>
      <c r="K186" s="59"/>
      <c r="L186" s="59"/>
      <c r="M186" s="59"/>
      <c r="N186" s="59"/>
    </row>
    <row r="187" spans="1:14" x14ac:dyDescent="0.3">
      <c r="A187" t="s">
        <v>129</v>
      </c>
      <c r="B187" t="s">
        <v>130</v>
      </c>
      <c r="C187" s="59"/>
      <c r="D187" s="59"/>
      <c r="E187" s="59">
        <v>3.0499999999999999E-2</v>
      </c>
      <c r="F187" s="59">
        <v>2.7400000000000001E-2</v>
      </c>
      <c r="G187" s="59">
        <v>1.7899999999999999E-2</v>
      </c>
      <c r="H187" s="59">
        <v>1.4E-2</v>
      </c>
      <c r="I187" s="59">
        <v>1.1299999999999999E-2</v>
      </c>
      <c r="J187" s="59">
        <v>1.12E-2</v>
      </c>
      <c r="K187" s="59"/>
      <c r="L187" s="59"/>
      <c r="M187" s="59"/>
      <c r="N187" s="59"/>
    </row>
    <row r="188" spans="1:14" x14ac:dyDescent="0.3">
      <c r="A188" t="s">
        <v>131</v>
      </c>
      <c r="B188" t="s">
        <v>132</v>
      </c>
      <c r="C188" s="59"/>
      <c r="D188" s="59"/>
      <c r="E188" s="59">
        <v>2.1700000000000001E-2</v>
      </c>
      <c r="F188" s="59">
        <v>1.77E-2</v>
      </c>
      <c r="G188" s="59">
        <v>1.8100000000000002E-2</v>
      </c>
      <c r="H188" s="59">
        <v>1.49E-2</v>
      </c>
      <c r="I188" s="59">
        <v>1.41E-2</v>
      </c>
      <c r="J188" s="59">
        <v>1.3899999999999999E-2</v>
      </c>
      <c r="K188" s="59"/>
      <c r="L188" s="59"/>
      <c r="M188" s="59"/>
      <c r="N188" s="59"/>
    </row>
    <row r="189" spans="1:14" x14ac:dyDescent="0.3">
      <c r="A189" t="s">
        <v>133</v>
      </c>
      <c r="B189" t="s">
        <v>134</v>
      </c>
      <c r="C189" s="59"/>
      <c r="D189" s="59"/>
      <c r="E189" s="59">
        <v>1.54E-2</v>
      </c>
      <c r="F189" s="59">
        <v>1.2200000000000001E-2</v>
      </c>
      <c r="G189" s="59">
        <v>9.7999999999999997E-3</v>
      </c>
      <c r="H189" s="59">
        <v>7.7000000000000002E-3</v>
      </c>
      <c r="I189" s="59">
        <v>8.6999999999999994E-3</v>
      </c>
      <c r="J189" s="59">
        <v>1.0200000000000001E-2</v>
      </c>
      <c r="K189" s="59"/>
      <c r="L189" s="59"/>
      <c r="M189" s="59"/>
      <c r="N189" s="59"/>
    </row>
    <row r="190" spans="1:14" x14ac:dyDescent="0.3">
      <c r="A190" t="s">
        <v>135</v>
      </c>
      <c r="B190" t="s">
        <v>136</v>
      </c>
      <c r="C190" s="59"/>
      <c r="D190" s="59"/>
      <c r="E190" s="59">
        <v>2.2499999999999999E-2</v>
      </c>
      <c r="F190" s="59">
        <v>2.2599999999999999E-2</v>
      </c>
      <c r="G190" s="59">
        <v>1.7899999999999999E-2</v>
      </c>
      <c r="H190" s="59">
        <v>1.4E-2</v>
      </c>
      <c r="I190" s="59">
        <v>1.1299999999999999E-2</v>
      </c>
      <c r="J190" s="59">
        <v>1.12E-2</v>
      </c>
      <c r="K190" s="59"/>
      <c r="L190" s="59"/>
      <c r="M190" s="59"/>
      <c r="N190" s="59"/>
    </row>
    <row r="191" spans="1:14" x14ac:dyDescent="0.3">
      <c r="A191" t="s">
        <v>137</v>
      </c>
      <c r="B191" t="s">
        <v>138</v>
      </c>
      <c r="C191" s="59"/>
      <c r="D191" s="59"/>
      <c r="E191" s="59">
        <v>8.8000000000000005E-3</v>
      </c>
      <c r="F191" s="59">
        <v>9.1999999999999998E-3</v>
      </c>
      <c r="G191" s="59">
        <v>9.4000000000000004E-3</v>
      </c>
      <c r="H191" s="59">
        <v>1.0699999999999999E-2</v>
      </c>
      <c r="I191" s="59">
        <v>1.04E-2</v>
      </c>
      <c r="J191" s="59">
        <v>9.9000000000000008E-3</v>
      </c>
      <c r="K191" s="59"/>
      <c r="L191" s="59"/>
      <c r="M191" s="59"/>
      <c r="N191" s="59"/>
    </row>
    <row r="192" spans="1:14" x14ac:dyDescent="0.3">
      <c r="A192" t="s">
        <v>139</v>
      </c>
      <c r="B192" t="s">
        <v>140</v>
      </c>
      <c r="C192" s="59"/>
      <c r="D192" s="59"/>
      <c r="E192" s="59">
        <v>6.4000000000000003E-3</v>
      </c>
      <c r="F192" s="59">
        <v>8.0999999999999996E-3</v>
      </c>
      <c r="G192" s="59">
        <v>1.0200000000000001E-2</v>
      </c>
      <c r="H192" s="59">
        <v>1.26E-2</v>
      </c>
      <c r="I192" s="59">
        <v>1.18E-2</v>
      </c>
      <c r="J192" s="59">
        <v>1.0200000000000001E-2</v>
      </c>
      <c r="K192" s="59"/>
      <c r="L192" s="59"/>
      <c r="M192" s="59"/>
      <c r="N192" s="59"/>
    </row>
    <row r="193" spans="1:14" x14ac:dyDescent="0.3">
      <c r="A193" t="s">
        <v>141</v>
      </c>
      <c r="B193" t="s">
        <v>142</v>
      </c>
      <c r="C193" s="59"/>
      <c r="D193" s="59"/>
      <c r="E193" s="59">
        <v>0</v>
      </c>
      <c r="F193" s="59">
        <v>0</v>
      </c>
      <c r="G193" s="59">
        <v>0</v>
      </c>
      <c r="H193" s="59">
        <v>1.1599999999999999E-2</v>
      </c>
      <c r="I193" s="59">
        <v>1.15E-2</v>
      </c>
      <c r="J193" s="59">
        <v>9.7000000000000003E-3</v>
      </c>
      <c r="K193" s="59"/>
      <c r="L193" s="59"/>
      <c r="M193" s="59"/>
      <c r="N193" s="59"/>
    </row>
    <row r="194" spans="1:14" x14ac:dyDescent="0.3">
      <c r="A194" t="s">
        <v>143</v>
      </c>
      <c r="B194" t="s">
        <v>144</v>
      </c>
      <c r="C194" s="59"/>
      <c r="D194" s="59"/>
      <c r="E194" s="59">
        <v>8.0000000000000002E-3</v>
      </c>
      <c r="F194" s="59">
        <v>8.0999999999999996E-3</v>
      </c>
      <c r="G194" s="59">
        <v>8.2000000000000007E-3</v>
      </c>
      <c r="H194" s="59">
        <v>1.43E-2</v>
      </c>
      <c r="I194" s="59">
        <v>1.5599999999999999E-2</v>
      </c>
      <c r="J194" s="59">
        <v>9.4999999999999998E-3</v>
      </c>
      <c r="K194" s="59"/>
      <c r="L194" s="59"/>
      <c r="M194" s="59"/>
      <c r="N194" s="59"/>
    </row>
    <row r="195" spans="1:14" x14ac:dyDescent="0.3">
      <c r="A195" t="s">
        <v>145</v>
      </c>
      <c r="B195" t="s">
        <v>146</v>
      </c>
      <c r="C195" s="59"/>
      <c r="D195" s="59"/>
      <c r="E195" s="59">
        <v>3.7000000000000002E-3</v>
      </c>
      <c r="F195" s="59">
        <v>2.8999999999999998E-3</v>
      </c>
      <c r="G195" s="59">
        <v>3.0000000000000001E-3</v>
      </c>
      <c r="H195" s="59">
        <v>1.11E-2</v>
      </c>
      <c r="I195" s="59">
        <v>1.0999999999999999E-2</v>
      </c>
      <c r="J195" s="59">
        <v>9.2999999999999992E-3</v>
      </c>
      <c r="K195" s="59"/>
      <c r="L195" s="59"/>
      <c r="M195" s="59"/>
      <c r="N195" s="59"/>
    </row>
    <row r="196" spans="1:14" x14ac:dyDescent="0.3">
      <c r="A196" t="s">
        <v>147</v>
      </c>
      <c r="B196" t="s">
        <v>148</v>
      </c>
      <c r="C196" s="59"/>
      <c r="D196" s="59"/>
      <c r="E196" s="59">
        <v>9.1999999999999998E-3</v>
      </c>
      <c r="F196" s="59">
        <v>1.0800000000000001E-2</v>
      </c>
      <c r="G196" s="59">
        <v>1.6E-2</v>
      </c>
      <c r="H196" s="59">
        <v>1.4E-2</v>
      </c>
      <c r="I196" s="59">
        <v>1.43E-2</v>
      </c>
      <c r="J196" s="59">
        <v>8.9999999999999993E-3</v>
      </c>
      <c r="K196" s="59"/>
      <c r="L196" s="59"/>
      <c r="M196" s="59"/>
      <c r="N196" s="59"/>
    </row>
    <row r="197" spans="1:14" x14ac:dyDescent="0.3">
      <c r="A197" t="s">
        <v>149</v>
      </c>
      <c r="B197" t="s">
        <v>150</v>
      </c>
      <c r="C197" s="59"/>
      <c r="D197" s="59"/>
      <c r="E197" s="59">
        <v>3.3300000000000003E-2</v>
      </c>
      <c r="F197" s="59">
        <v>3.2899999999999999E-2</v>
      </c>
      <c r="G197" s="59">
        <v>3.3099999999999997E-2</v>
      </c>
      <c r="H197" s="59">
        <v>3.0200000000000001E-2</v>
      </c>
      <c r="I197" s="59">
        <v>3.4700000000000002E-2</v>
      </c>
      <c r="J197" s="59">
        <v>4.1700000000000001E-2</v>
      </c>
      <c r="K197" s="59"/>
      <c r="L197" s="59"/>
      <c r="M197" s="59"/>
      <c r="N197" s="59"/>
    </row>
    <row r="198" spans="1:14" x14ac:dyDescent="0.3">
      <c r="A198" t="s">
        <v>151</v>
      </c>
      <c r="B198" t="s">
        <v>152</v>
      </c>
      <c r="C198" s="59"/>
      <c r="D198" s="59"/>
      <c r="E198" s="59">
        <v>1.01E-2</v>
      </c>
      <c r="F198" s="59">
        <v>1.1299999999999999E-2</v>
      </c>
      <c r="G198" s="59">
        <v>8.3000000000000001E-3</v>
      </c>
      <c r="H198" s="59">
        <v>8.8999999999999999E-3</v>
      </c>
      <c r="I198" s="59">
        <v>8.6E-3</v>
      </c>
      <c r="J198" s="59">
        <v>8.8999999999999999E-3</v>
      </c>
      <c r="K198" s="59"/>
      <c r="L198" s="59"/>
      <c r="M198" s="59"/>
      <c r="N198" s="59"/>
    </row>
    <row r="199" spans="1:14" ht="14.5" thickBot="1" x14ac:dyDescent="0.35">
      <c r="A199" t="s">
        <v>153</v>
      </c>
      <c r="B199" t="s">
        <v>154</v>
      </c>
      <c r="C199" s="59"/>
      <c r="D199" s="59"/>
      <c r="E199" s="59">
        <v>5.3E-3</v>
      </c>
      <c r="F199" s="59">
        <v>6.8999999999999999E-3</v>
      </c>
      <c r="G199" s="70">
        <v>7.4999999999999997E-3</v>
      </c>
      <c r="H199" s="59">
        <v>8.0999999999999996E-3</v>
      </c>
      <c r="I199" s="59">
        <v>6.3E-3</v>
      </c>
      <c r="J199" s="59">
        <v>6.8999999999999999E-3</v>
      </c>
      <c r="K199" s="59"/>
      <c r="L199" s="59"/>
      <c r="M199" s="59"/>
      <c r="N199" s="59"/>
    </row>
    <row r="202" spans="1:14" x14ac:dyDescent="0.3">
      <c r="A202" s="72" t="s">
        <v>257</v>
      </c>
    </row>
    <row r="203" spans="1:14" x14ac:dyDescent="0.3">
      <c r="A203" t="s">
        <v>239</v>
      </c>
      <c r="B203" t="s">
        <v>240</v>
      </c>
      <c r="C203" t="s">
        <v>218</v>
      </c>
      <c r="D203" t="s">
        <v>12</v>
      </c>
      <c r="E203" t="s">
        <v>217</v>
      </c>
      <c r="F203" t="s">
        <v>241</v>
      </c>
      <c r="G203" t="s">
        <v>242</v>
      </c>
      <c r="H203" t="s">
        <v>243</v>
      </c>
      <c r="I203" t="s">
        <v>244</v>
      </c>
      <c r="J203" t="s">
        <v>245</v>
      </c>
      <c r="K203" t="s">
        <v>246</v>
      </c>
      <c r="L203" t="s">
        <v>247</v>
      </c>
      <c r="M203" t="s">
        <v>248</v>
      </c>
      <c r="N203" t="s">
        <v>249</v>
      </c>
    </row>
    <row r="204" spans="1:14" x14ac:dyDescent="0.3">
      <c r="A204" t="s">
        <v>21</v>
      </c>
      <c r="B204" t="s">
        <v>22</v>
      </c>
      <c r="C204" s="59"/>
      <c r="D204" s="59"/>
      <c r="E204" s="59">
        <v>2.7000000000000001E-3</v>
      </c>
      <c r="F204" s="59">
        <v>2.8E-3</v>
      </c>
      <c r="G204" s="59">
        <v>2.7000000000000001E-3</v>
      </c>
      <c r="H204" s="59">
        <v>2.8E-3</v>
      </c>
      <c r="I204" s="59">
        <v>2.7000000000000001E-3</v>
      </c>
      <c r="J204" s="59">
        <v>2.8E-3</v>
      </c>
      <c r="K204" s="59"/>
      <c r="L204" s="59"/>
      <c r="M204" s="59"/>
      <c r="N204" s="59"/>
    </row>
    <row r="205" spans="1:14" x14ac:dyDescent="0.3">
      <c r="A205" t="s">
        <v>23</v>
      </c>
      <c r="B205" t="s">
        <v>24</v>
      </c>
      <c r="C205" s="59"/>
      <c r="D205" s="59"/>
      <c r="E205" s="59">
        <v>3.0999999999999999E-3</v>
      </c>
      <c r="F205" s="59">
        <v>2.2000000000000001E-3</v>
      </c>
      <c r="G205" s="59">
        <v>2E-3</v>
      </c>
      <c r="H205" s="59">
        <v>3.8999999999999998E-3</v>
      </c>
      <c r="I205" s="59">
        <v>4.4000000000000003E-3</v>
      </c>
      <c r="J205" s="59">
        <v>5.1999999999999998E-3</v>
      </c>
      <c r="K205" s="59"/>
      <c r="L205" s="59"/>
      <c r="M205" s="59"/>
      <c r="N205" s="59"/>
    </row>
    <row r="206" spans="1:14" x14ac:dyDescent="0.3">
      <c r="A206" t="s">
        <v>25</v>
      </c>
      <c r="B206" t="s">
        <v>26</v>
      </c>
      <c r="C206" s="59"/>
      <c r="D206" s="59"/>
      <c r="E206" s="59">
        <v>3.3999999999999998E-3</v>
      </c>
      <c r="F206" s="59">
        <v>2.5000000000000001E-3</v>
      </c>
      <c r="G206" s="59">
        <v>2.3999999999999998E-3</v>
      </c>
      <c r="H206" s="59">
        <v>2.8E-3</v>
      </c>
      <c r="I206" s="59">
        <v>3.0999999999999999E-3</v>
      </c>
      <c r="J206" s="59">
        <v>3.3E-3</v>
      </c>
      <c r="K206" s="59"/>
      <c r="L206" s="59"/>
      <c r="M206" s="59"/>
      <c r="N206" s="59"/>
    </row>
    <row r="207" spans="1:14" x14ac:dyDescent="0.3">
      <c r="A207" t="s">
        <v>27</v>
      </c>
      <c r="B207" t="s">
        <v>28</v>
      </c>
      <c r="C207" s="59"/>
      <c r="D207" s="59"/>
      <c r="E207" s="59">
        <v>5.9999999999999995E-4</v>
      </c>
      <c r="F207" s="59">
        <v>8.0000000000000004E-4</v>
      </c>
      <c r="G207" s="59">
        <v>8.9999999999999998E-4</v>
      </c>
      <c r="H207" s="59">
        <v>3.0000000000000001E-3</v>
      </c>
      <c r="I207" s="59">
        <v>3.8999999999999998E-3</v>
      </c>
      <c r="J207" s="59">
        <v>5.0000000000000001E-3</v>
      </c>
      <c r="K207" s="59"/>
      <c r="L207" s="59"/>
      <c r="M207" s="59"/>
      <c r="N207" s="59"/>
    </row>
    <row r="208" spans="1:14" x14ac:dyDescent="0.3">
      <c r="A208" t="s">
        <v>29</v>
      </c>
      <c r="B208" t="s">
        <v>30</v>
      </c>
      <c r="C208" s="59"/>
      <c r="D208" s="59"/>
      <c r="E208" s="59">
        <v>2.5999999999999999E-3</v>
      </c>
      <c r="F208" s="59">
        <v>2.5000000000000001E-3</v>
      </c>
      <c r="G208" s="59">
        <v>2.7000000000000001E-3</v>
      </c>
      <c r="H208" s="59">
        <v>4.8999999999999998E-3</v>
      </c>
      <c r="I208" s="59">
        <v>4.4000000000000003E-3</v>
      </c>
      <c r="J208" s="59">
        <v>3.5999999999999999E-3</v>
      </c>
      <c r="K208" s="59"/>
      <c r="L208" s="59"/>
      <c r="M208" s="59"/>
      <c r="N208" s="59"/>
    </row>
    <row r="209" spans="1:14" x14ac:dyDescent="0.3">
      <c r="A209" t="s">
        <v>31</v>
      </c>
      <c r="B209" t="s">
        <v>32</v>
      </c>
      <c r="C209" s="59"/>
      <c r="D209" s="59"/>
      <c r="E209" s="59">
        <v>2E-3</v>
      </c>
      <c r="F209" s="59">
        <v>3.0000000000000001E-3</v>
      </c>
      <c r="G209" s="59">
        <v>1.8E-3</v>
      </c>
      <c r="H209" s="59">
        <v>2E-3</v>
      </c>
      <c r="I209" s="59">
        <v>2.5000000000000001E-3</v>
      </c>
      <c r="J209" s="59">
        <v>3.0999999999999999E-3</v>
      </c>
      <c r="K209" s="59"/>
      <c r="L209" s="59"/>
      <c r="M209" s="59"/>
      <c r="N209" s="59"/>
    </row>
    <row r="210" spans="1:14" x14ac:dyDescent="0.3">
      <c r="A210" t="s">
        <v>33</v>
      </c>
      <c r="B210" t="s">
        <v>34</v>
      </c>
      <c r="C210" s="59"/>
      <c r="D210" s="59"/>
      <c r="E210" s="59">
        <v>3.7000000000000002E-3</v>
      </c>
      <c r="F210" s="59">
        <v>2.7000000000000001E-3</v>
      </c>
      <c r="G210" s="59">
        <v>2.8E-3</v>
      </c>
      <c r="H210" s="59">
        <v>4.0000000000000001E-3</v>
      </c>
      <c r="I210" s="59">
        <v>4.3E-3</v>
      </c>
      <c r="J210" s="59">
        <v>4.7999999999999996E-3</v>
      </c>
      <c r="K210" s="59"/>
      <c r="L210" s="59"/>
      <c r="M210" s="59"/>
      <c r="N210" s="59"/>
    </row>
    <row r="211" spans="1:14" x14ac:dyDescent="0.3">
      <c r="A211" t="s">
        <v>35</v>
      </c>
      <c r="B211" t="s">
        <v>36</v>
      </c>
      <c r="C211" s="59"/>
      <c r="D211" s="59"/>
      <c r="E211" s="59">
        <v>2.5999999999999999E-3</v>
      </c>
      <c r="F211" s="59">
        <v>4.1000000000000003E-3</v>
      </c>
      <c r="G211" s="59">
        <v>2.3999999999999998E-3</v>
      </c>
      <c r="H211" s="59">
        <v>1.6000000000000001E-3</v>
      </c>
      <c r="I211" s="59">
        <v>2.2000000000000001E-3</v>
      </c>
      <c r="J211" s="59">
        <v>3.7000000000000002E-3</v>
      </c>
      <c r="K211" s="59"/>
      <c r="L211" s="59"/>
      <c r="M211" s="59"/>
      <c r="N211" s="59"/>
    </row>
    <row r="212" spans="1:14" x14ac:dyDescent="0.3">
      <c r="A212" t="s">
        <v>37</v>
      </c>
      <c r="B212" t="s">
        <v>38</v>
      </c>
      <c r="C212" s="59"/>
      <c r="D212" s="59"/>
      <c r="E212" s="59">
        <v>4.4000000000000003E-3</v>
      </c>
      <c r="F212" s="59">
        <v>2.8999999999999998E-3</v>
      </c>
      <c r="G212" s="59">
        <v>2.5999999999999999E-3</v>
      </c>
      <c r="H212" s="59">
        <v>3.8999999999999998E-3</v>
      </c>
      <c r="I212" s="59">
        <v>4.0000000000000001E-3</v>
      </c>
      <c r="J212" s="59">
        <v>4.7999999999999996E-3</v>
      </c>
      <c r="K212" s="59"/>
      <c r="L212" s="59"/>
      <c r="M212" s="59"/>
      <c r="N212" s="59"/>
    </row>
    <row r="213" spans="1:14" x14ac:dyDescent="0.3">
      <c r="A213" t="s">
        <v>39</v>
      </c>
      <c r="B213" t="s">
        <v>40</v>
      </c>
      <c r="C213" s="59"/>
      <c r="D213" s="59"/>
      <c r="E213" s="59">
        <v>2.3999999999999998E-3</v>
      </c>
      <c r="F213" s="59">
        <v>2.8E-3</v>
      </c>
      <c r="G213" s="59">
        <v>2.8E-3</v>
      </c>
      <c r="H213" s="59">
        <v>3.3E-3</v>
      </c>
      <c r="I213" s="59">
        <v>3.3E-3</v>
      </c>
      <c r="J213" s="59">
        <v>2.8999999999999998E-3</v>
      </c>
      <c r="K213" s="59"/>
      <c r="L213" s="59"/>
      <c r="M213" s="59"/>
      <c r="N213" s="59"/>
    </row>
    <row r="214" spans="1:14" x14ac:dyDescent="0.3">
      <c r="A214" t="s">
        <v>41</v>
      </c>
      <c r="B214" t="s">
        <v>42</v>
      </c>
      <c r="C214" s="59"/>
      <c r="D214" s="59"/>
      <c r="E214" s="59">
        <v>3.7000000000000002E-3</v>
      </c>
      <c r="F214" s="59">
        <v>5.7999999999999996E-3</v>
      </c>
      <c r="G214" s="59">
        <v>7.1999999999999998E-3</v>
      </c>
      <c r="H214" s="59">
        <v>1.8E-3</v>
      </c>
      <c r="I214" s="59">
        <v>1.6999999999999999E-3</v>
      </c>
      <c r="J214" s="59">
        <v>1.9E-3</v>
      </c>
      <c r="K214" s="59"/>
      <c r="L214" s="59"/>
      <c r="M214" s="59"/>
      <c r="N214" s="59"/>
    </row>
    <row r="215" spans="1:14" x14ac:dyDescent="0.3">
      <c r="A215" t="s">
        <v>43</v>
      </c>
      <c r="B215" t="s">
        <v>44</v>
      </c>
      <c r="C215" s="59"/>
      <c r="D215" s="59"/>
      <c r="E215" s="59">
        <v>3.3E-3</v>
      </c>
      <c r="F215" s="59">
        <v>3.5999999999999999E-3</v>
      </c>
      <c r="G215" s="59">
        <v>3.3999999999999998E-3</v>
      </c>
      <c r="H215" s="59">
        <v>3.3999999999999998E-3</v>
      </c>
      <c r="I215" s="59">
        <v>3.5000000000000001E-3</v>
      </c>
      <c r="J215" s="59">
        <v>3.7000000000000002E-3</v>
      </c>
      <c r="K215" s="59"/>
      <c r="L215" s="59"/>
      <c r="M215" s="59"/>
      <c r="N215" s="59"/>
    </row>
    <row r="216" spans="1:14" x14ac:dyDescent="0.3">
      <c r="A216" t="s">
        <v>45</v>
      </c>
      <c r="B216" t="s">
        <v>46</v>
      </c>
      <c r="C216" s="59"/>
      <c r="D216" s="59"/>
      <c r="E216" s="59">
        <v>4.0000000000000001E-3</v>
      </c>
      <c r="F216" s="59">
        <v>4.4999999999999997E-3</v>
      </c>
      <c r="G216" s="59">
        <v>3.8999999999999998E-3</v>
      </c>
      <c r="H216" s="59">
        <v>4.1999999999999997E-3</v>
      </c>
      <c r="I216" s="59">
        <v>4.5999999999999999E-3</v>
      </c>
      <c r="J216" s="59">
        <v>5.5999999999999999E-3</v>
      </c>
      <c r="K216" s="59"/>
      <c r="L216" s="59"/>
      <c r="M216" s="59"/>
      <c r="N216" s="59"/>
    </row>
    <row r="217" spans="1:14" x14ac:dyDescent="0.3">
      <c r="A217" t="s">
        <v>47</v>
      </c>
      <c r="B217" t="s">
        <v>48</v>
      </c>
      <c r="C217" s="59"/>
      <c r="D217" s="59"/>
      <c r="E217" s="59">
        <v>3.5000000000000001E-3</v>
      </c>
      <c r="F217" s="59">
        <v>3.5999999999999999E-3</v>
      </c>
      <c r="G217" s="59">
        <v>3.7000000000000002E-3</v>
      </c>
      <c r="H217" s="59">
        <v>1.2999999999999999E-3</v>
      </c>
      <c r="I217" s="59">
        <v>1.6999999999999999E-3</v>
      </c>
      <c r="J217" s="59">
        <v>3.0999999999999999E-3</v>
      </c>
      <c r="K217" s="59"/>
      <c r="L217" s="59"/>
      <c r="M217" s="59"/>
      <c r="N217" s="59"/>
    </row>
    <row r="218" spans="1:14" x14ac:dyDescent="0.3">
      <c r="A218" t="s">
        <v>49</v>
      </c>
      <c r="B218" t="s">
        <v>50</v>
      </c>
      <c r="C218" s="59"/>
      <c r="D218" s="59"/>
      <c r="E218" s="59">
        <v>4.7000000000000002E-3</v>
      </c>
      <c r="F218" s="59">
        <v>3.5999999999999999E-3</v>
      </c>
      <c r="G218" s="59">
        <v>3.3999999999999998E-3</v>
      </c>
      <c r="H218" s="59">
        <v>5.4000000000000003E-3</v>
      </c>
      <c r="I218" s="59">
        <v>5.1999999999999998E-3</v>
      </c>
      <c r="J218" s="59">
        <v>5.1000000000000004E-3</v>
      </c>
      <c r="K218" s="59"/>
      <c r="L218" s="59"/>
      <c r="M218" s="59"/>
      <c r="N218" s="59"/>
    </row>
    <row r="219" spans="1:14" x14ac:dyDescent="0.3">
      <c r="A219" t="s">
        <v>51</v>
      </c>
      <c r="B219" t="s">
        <v>52</v>
      </c>
      <c r="C219" s="59"/>
      <c r="D219" s="59"/>
      <c r="E219" s="59">
        <v>5.3E-3</v>
      </c>
      <c r="F219" s="59">
        <v>4.7999999999999996E-3</v>
      </c>
      <c r="G219" s="59">
        <v>5.4000000000000003E-3</v>
      </c>
      <c r="H219" s="59">
        <v>6.4999999999999997E-3</v>
      </c>
      <c r="I219" s="59">
        <v>6.6E-3</v>
      </c>
      <c r="J219" s="59">
        <v>5.5999999999999999E-3</v>
      </c>
      <c r="K219" s="59"/>
      <c r="L219" s="59"/>
      <c r="M219" s="59"/>
      <c r="N219" s="59"/>
    </row>
    <row r="220" spans="1:14" x14ac:dyDescent="0.3">
      <c r="A220" t="s">
        <v>53</v>
      </c>
      <c r="B220" t="s">
        <v>54</v>
      </c>
      <c r="C220" s="59"/>
      <c r="D220" s="59"/>
      <c r="E220" s="59">
        <v>4.4000000000000003E-3</v>
      </c>
      <c r="F220" s="59">
        <v>4.7999999999999996E-3</v>
      </c>
      <c r="G220" s="59">
        <v>4.4000000000000003E-3</v>
      </c>
      <c r="H220" s="59">
        <v>4.7999999999999996E-3</v>
      </c>
      <c r="I220" s="59">
        <v>5.1999999999999998E-3</v>
      </c>
      <c r="J220" s="59">
        <v>6.1000000000000004E-3</v>
      </c>
      <c r="K220" s="59"/>
      <c r="L220" s="59"/>
      <c r="M220" s="59"/>
      <c r="N220" s="59"/>
    </row>
    <row r="221" spans="1:14" x14ac:dyDescent="0.3">
      <c r="A221" t="s">
        <v>55</v>
      </c>
      <c r="B221" t="s">
        <v>56</v>
      </c>
      <c r="C221" s="59"/>
      <c r="D221" s="59"/>
      <c r="E221" s="59">
        <v>7.4999999999999997E-3</v>
      </c>
      <c r="F221" s="59">
        <v>8.5000000000000006E-3</v>
      </c>
      <c r="G221" s="59">
        <v>7.1000000000000004E-3</v>
      </c>
      <c r="H221" s="59">
        <v>8.8000000000000005E-3</v>
      </c>
      <c r="I221" s="59">
        <v>9.5999999999999992E-3</v>
      </c>
      <c r="J221" s="59">
        <v>1.14E-2</v>
      </c>
      <c r="K221" s="59"/>
      <c r="L221" s="59"/>
      <c r="M221" s="59"/>
      <c r="N221" s="59"/>
    </row>
    <row r="222" spans="1:14" x14ac:dyDescent="0.3">
      <c r="A222" t="s">
        <v>57</v>
      </c>
      <c r="B222" t="s">
        <v>58</v>
      </c>
      <c r="C222" s="59"/>
      <c r="D222" s="59"/>
      <c r="E222" s="59">
        <v>3.3E-3</v>
      </c>
      <c r="F222" s="59">
        <v>4.1000000000000003E-3</v>
      </c>
      <c r="G222" s="59">
        <v>3.8999999999999998E-3</v>
      </c>
      <c r="H222" s="59">
        <v>6.7000000000000002E-3</v>
      </c>
      <c r="I222" s="59">
        <v>6.1000000000000004E-3</v>
      </c>
      <c r="J222" s="59">
        <v>2.7000000000000001E-3</v>
      </c>
      <c r="K222" s="59"/>
      <c r="L222" s="59"/>
      <c r="M222" s="59"/>
      <c r="N222" s="59"/>
    </row>
    <row r="223" spans="1:14" x14ac:dyDescent="0.3">
      <c r="A223" t="s">
        <v>59</v>
      </c>
      <c r="B223" t="s">
        <v>60</v>
      </c>
      <c r="C223" s="59"/>
      <c r="D223" s="59"/>
      <c r="E223" s="59">
        <v>7.3000000000000001E-3</v>
      </c>
      <c r="F223" s="59">
        <v>1.0200000000000001E-2</v>
      </c>
      <c r="G223" s="59">
        <v>9.9000000000000008E-3</v>
      </c>
      <c r="H223" s="59">
        <v>3.5000000000000001E-3</v>
      </c>
      <c r="I223" s="59">
        <v>4.0000000000000001E-3</v>
      </c>
      <c r="J223" s="59">
        <v>4.7999999999999996E-3</v>
      </c>
      <c r="K223" s="59"/>
      <c r="L223" s="59"/>
      <c r="M223" s="59"/>
      <c r="N223" s="59"/>
    </row>
    <row r="224" spans="1:14" x14ac:dyDescent="0.3">
      <c r="A224" t="s">
        <v>61</v>
      </c>
      <c r="B224" t="s">
        <v>62</v>
      </c>
      <c r="C224" s="59"/>
      <c r="D224" s="59"/>
      <c r="E224" s="59">
        <v>9.1000000000000004E-3</v>
      </c>
      <c r="F224" s="59">
        <v>5.8999999999999999E-3</v>
      </c>
      <c r="G224" s="59">
        <v>5.4999999999999997E-3</v>
      </c>
      <c r="H224" s="59">
        <v>3.3E-3</v>
      </c>
      <c r="I224" s="59">
        <v>3.5000000000000001E-3</v>
      </c>
      <c r="J224" s="59">
        <v>5.1999999999999998E-3</v>
      </c>
      <c r="K224" s="59"/>
      <c r="L224" s="59"/>
      <c r="M224" s="59"/>
      <c r="N224" s="59"/>
    </row>
    <row r="225" spans="1:14" x14ac:dyDescent="0.3">
      <c r="A225" t="s">
        <v>63</v>
      </c>
      <c r="B225" t="s">
        <v>64</v>
      </c>
      <c r="C225" s="59"/>
      <c r="D225" s="59"/>
      <c r="E225" s="59">
        <v>4.0000000000000001E-3</v>
      </c>
      <c r="F225" s="59">
        <v>3.2000000000000002E-3</v>
      </c>
      <c r="G225" s="59">
        <v>3.8999999999999998E-3</v>
      </c>
      <c r="H225" s="59">
        <v>5.5999999999999999E-3</v>
      </c>
      <c r="I225" s="59">
        <v>5.3E-3</v>
      </c>
      <c r="J225" s="59">
        <v>5.5999999999999999E-3</v>
      </c>
      <c r="K225" s="59"/>
      <c r="L225" s="59"/>
      <c r="M225" s="59"/>
      <c r="N225" s="59"/>
    </row>
    <row r="226" spans="1:14" x14ac:dyDescent="0.3">
      <c r="A226" t="s">
        <v>65</v>
      </c>
      <c r="B226" t="s">
        <v>66</v>
      </c>
      <c r="C226" s="59"/>
      <c r="D226" s="59"/>
      <c r="E226" s="59">
        <v>2.0999999999999999E-3</v>
      </c>
      <c r="F226" s="59">
        <v>3.8E-3</v>
      </c>
      <c r="G226" s="59">
        <v>6.8999999999999999E-3</v>
      </c>
      <c r="H226" s="59">
        <v>3.3E-3</v>
      </c>
      <c r="I226" s="59">
        <v>2.5000000000000001E-3</v>
      </c>
      <c r="J226" s="59">
        <v>2E-3</v>
      </c>
      <c r="K226" s="59"/>
      <c r="L226" s="59"/>
      <c r="M226" s="59"/>
      <c r="N226" s="59"/>
    </row>
    <row r="227" spans="1:14" x14ac:dyDescent="0.3">
      <c r="A227" t="s">
        <v>67</v>
      </c>
      <c r="B227" t="s">
        <v>68</v>
      </c>
      <c r="C227" s="59"/>
      <c r="D227" s="59"/>
      <c r="E227" s="59">
        <v>4.4000000000000003E-3</v>
      </c>
      <c r="F227" s="59">
        <v>6.3E-3</v>
      </c>
      <c r="G227" s="59">
        <v>4.5999999999999999E-3</v>
      </c>
      <c r="H227" s="59">
        <v>2.8E-3</v>
      </c>
      <c r="I227" s="59">
        <v>2.7000000000000001E-3</v>
      </c>
      <c r="J227" s="59">
        <v>2.0999999999999999E-3</v>
      </c>
      <c r="K227" s="59"/>
      <c r="L227" s="59"/>
      <c r="M227" s="59"/>
      <c r="N227" s="59"/>
    </row>
    <row r="228" spans="1:14" x14ac:dyDescent="0.3">
      <c r="A228" t="s">
        <v>69</v>
      </c>
      <c r="B228" t="s">
        <v>70</v>
      </c>
      <c r="C228" s="59"/>
      <c r="D228" s="59"/>
      <c r="E228" s="59">
        <v>4.7000000000000002E-3</v>
      </c>
      <c r="F228" s="59">
        <v>6.3E-3</v>
      </c>
      <c r="G228" s="59">
        <v>6.7999999999999996E-3</v>
      </c>
      <c r="H228" s="59">
        <v>5.1000000000000004E-3</v>
      </c>
      <c r="I228" s="59">
        <v>5.4999999999999997E-3</v>
      </c>
      <c r="J228" s="59">
        <v>6.4999999999999997E-3</v>
      </c>
      <c r="K228" s="59"/>
      <c r="L228" s="59"/>
      <c r="M228" s="59"/>
      <c r="N228" s="59"/>
    </row>
    <row r="229" spans="1:14" x14ac:dyDescent="0.3">
      <c r="A229" t="s">
        <v>71</v>
      </c>
      <c r="B229" t="s">
        <v>72</v>
      </c>
      <c r="C229" s="59"/>
      <c r="D229" s="59"/>
      <c r="E229" s="59">
        <v>4.7000000000000002E-3</v>
      </c>
      <c r="F229" s="59">
        <v>6.3E-3</v>
      </c>
      <c r="G229" s="59">
        <v>6.7999999999999996E-3</v>
      </c>
      <c r="H229" s="59">
        <v>5.4000000000000003E-3</v>
      </c>
      <c r="I229" s="59">
        <v>5.7999999999999996E-3</v>
      </c>
      <c r="J229" s="59">
        <v>6.7000000000000002E-3</v>
      </c>
      <c r="K229" s="59"/>
      <c r="L229" s="59"/>
      <c r="M229" s="59"/>
      <c r="N229" s="59"/>
    </row>
    <row r="230" spans="1:14" x14ac:dyDescent="0.3">
      <c r="A230" t="s">
        <v>73</v>
      </c>
      <c r="B230" t="s">
        <v>74</v>
      </c>
      <c r="C230" s="59"/>
      <c r="D230" s="59"/>
      <c r="E230" s="59">
        <v>3.7000000000000002E-3</v>
      </c>
      <c r="F230" s="59">
        <v>3.3999999999999998E-3</v>
      </c>
      <c r="G230" s="59">
        <v>8.3999999999999995E-3</v>
      </c>
      <c r="H230" s="59">
        <v>7.4999999999999997E-3</v>
      </c>
      <c r="I230" s="59">
        <v>8.6E-3</v>
      </c>
      <c r="J230" s="59">
        <v>1.1299999999999999E-2</v>
      </c>
      <c r="K230" s="59"/>
      <c r="L230" s="59"/>
      <c r="M230" s="59"/>
      <c r="N230" s="59"/>
    </row>
    <row r="231" spans="1:14" x14ac:dyDescent="0.3">
      <c r="A231" t="s">
        <v>75</v>
      </c>
      <c r="B231" t="s">
        <v>76</v>
      </c>
      <c r="C231" s="59"/>
      <c r="D231" s="59"/>
      <c r="E231" s="59">
        <v>1.5100000000000001E-2</v>
      </c>
      <c r="F231" s="59">
        <v>1.5900000000000001E-2</v>
      </c>
      <c r="G231" s="59">
        <v>1.09E-2</v>
      </c>
      <c r="H231" s="59">
        <v>1.0500000000000001E-2</v>
      </c>
      <c r="I231" s="59">
        <v>1.21E-2</v>
      </c>
      <c r="J231" s="59">
        <v>1.6199999999999999E-2</v>
      </c>
      <c r="K231" s="59"/>
      <c r="L231" s="59"/>
      <c r="M231" s="59"/>
      <c r="N231" s="59"/>
    </row>
    <row r="232" spans="1:14" x14ac:dyDescent="0.3">
      <c r="A232" t="s">
        <v>77</v>
      </c>
      <c r="B232" t="s">
        <v>78</v>
      </c>
      <c r="C232" s="59"/>
      <c r="D232" s="59"/>
      <c r="E232" s="59">
        <v>6.1999999999999998E-3</v>
      </c>
      <c r="F232" s="59">
        <v>1.18E-2</v>
      </c>
      <c r="G232" s="59">
        <v>1.2500000000000001E-2</v>
      </c>
      <c r="H232" s="59">
        <v>5.3E-3</v>
      </c>
      <c r="I232" s="59">
        <v>5.8999999999999999E-3</v>
      </c>
      <c r="J232" s="59">
        <v>6.1999999999999998E-3</v>
      </c>
      <c r="K232" s="59"/>
      <c r="L232" s="59"/>
      <c r="M232" s="59"/>
      <c r="N232" s="59"/>
    </row>
    <row r="233" spans="1:14" x14ac:dyDescent="0.3">
      <c r="A233" t="s">
        <v>79</v>
      </c>
      <c r="B233" t="s">
        <v>80</v>
      </c>
      <c r="C233" s="59"/>
      <c r="D233" s="59"/>
      <c r="E233" s="59">
        <v>5.8999999999999999E-3</v>
      </c>
      <c r="F233" s="59">
        <v>7.0000000000000001E-3</v>
      </c>
      <c r="G233" s="59">
        <v>7.0000000000000001E-3</v>
      </c>
      <c r="H233" s="59">
        <v>8.9999999999999993E-3</v>
      </c>
      <c r="I233" s="59">
        <v>8.6999999999999994E-3</v>
      </c>
      <c r="J233" s="59">
        <v>8.0000000000000002E-3</v>
      </c>
      <c r="K233" s="59"/>
      <c r="L233" s="59"/>
      <c r="M233" s="59"/>
      <c r="N233" s="59"/>
    </row>
    <row r="234" spans="1:14" x14ac:dyDescent="0.3">
      <c r="A234" t="s">
        <v>81</v>
      </c>
      <c r="B234" t="s">
        <v>82</v>
      </c>
      <c r="C234" s="59"/>
      <c r="D234" s="59"/>
      <c r="E234" s="59">
        <v>5.3E-3</v>
      </c>
      <c r="F234" s="59">
        <v>8.0999999999999996E-3</v>
      </c>
      <c r="G234" s="59">
        <v>7.7000000000000002E-3</v>
      </c>
      <c r="H234" s="59">
        <v>2.7000000000000001E-3</v>
      </c>
      <c r="I234" s="59">
        <v>2.7000000000000001E-3</v>
      </c>
      <c r="J234" s="59">
        <v>4.3E-3</v>
      </c>
      <c r="K234" s="59"/>
      <c r="L234" s="59"/>
      <c r="M234" s="59"/>
      <c r="N234" s="59"/>
    </row>
    <row r="235" spans="1:14" x14ac:dyDescent="0.3">
      <c r="A235" t="s">
        <v>83</v>
      </c>
      <c r="B235" t="s">
        <v>84</v>
      </c>
      <c r="C235" s="59"/>
      <c r="D235" s="59"/>
      <c r="E235" s="59">
        <v>3.8999999999999998E-3</v>
      </c>
      <c r="F235" s="59">
        <v>5.7000000000000002E-3</v>
      </c>
      <c r="G235" s="59">
        <v>6.3E-3</v>
      </c>
      <c r="H235" s="59">
        <v>5.4999999999999997E-3</v>
      </c>
      <c r="I235" s="59">
        <v>5.7999999999999996E-3</v>
      </c>
      <c r="J235" s="59">
        <v>6.7999999999999996E-3</v>
      </c>
      <c r="K235" s="59"/>
      <c r="L235" s="59"/>
      <c r="M235" s="59"/>
      <c r="N235" s="59"/>
    </row>
    <row r="236" spans="1:14" x14ac:dyDescent="0.3">
      <c r="A236" t="s">
        <v>85</v>
      </c>
      <c r="B236" t="s">
        <v>86</v>
      </c>
      <c r="C236" s="59"/>
      <c r="D236" s="59"/>
      <c r="E236" s="59">
        <v>5.4999999999999997E-3</v>
      </c>
      <c r="F236" s="59">
        <v>5.7000000000000002E-3</v>
      </c>
      <c r="G236" s="59">
        <v>5.5999999999999999E-3</v>
      </c>
      <c r="H236" s="59">
        <v>6.7000000000000002E-3</v>
      </c>
      <c r="I236" s="59">
        <v>6.6E-3</v>
      </c>
      <c r="J236" s="59">
        <v>8.0000000000000002E-3</v>
      </c>
      <c r="K236" s="59"/>
      <c r="L236" s="59"/>
      <c r="M236" s="59"/>
      <c r="N236" s="59"/>
    </row>
    <row r="237" spans="1:14" x14ac:dyDescent="0.3">
      <c r="A237" t="s">
        <v>87</v>
      </c>
      <c r="B237" t="s">
        <v>88</v>
      </c>
      <c r="C237" s="59"/>
      <c r="D237" s="59"/>
      <c r="E237" s="59">
        <v>7.3000000000000001E-3</v>
      </c>
      <c r="F237" s="59">
        <v>6.4999999999999997E-3</v>
      </c>
      <c r="G237" s="59">
        <v>6.1999999999999998E-3</v>
      </c>
      <c r="H237" s="59">
        <v>7.6E-3</v>
      </c>
      <c r="I237" s="59">
        <v>9.7999999999999997E-3</v>
      </c>
      <c r="J237" s="59">
        <v>1.26E-2</v>
      </c>
      <c r="K237" s="59"/>
      <c r="L237" s="59"/>
      <c r="M237" s="59"/>
      <c r="N237" s="59"/>
    </row>
    <row r="238" spans="1:14" x14ac:dyDescent="0.3">
      <c r="A238" t="s">
        <v>89</v>
      </c>
      <c r="B238" t="s">
        <v>90</v>
      </c>
      <c r="C238" s="59"/>
      <c r="D238" s="59"/>
      <c r="E238" s="59">
        <v>3.3999999999999998E-3</v>
      </c>
      <c r="F238" s="59">
        <v>3.3E-3</v>
      </c>
      <c r="G238" s="59">
        <v>3.3E-3</v>
      </c>
      <c r="H238" s="59">
        <v>4.7000000000000002E-3</v>
      </c>
      <c r="I238" s="59">
        <v>4.8999999999999998E-3</v>
      </c>
      <c r="J238" s="59">
        <v>5.4000000000000003E-3</v>
      </c>
      <c r="K238" s="59"/>
      <c r="L238" s="59"/>
      <c r="M238" s="59"/>
      <c r="N238" s="59"/>
    </row>
    <row r="239" spans="1:14" x14ac:dyDescent="0.3">
      <c r="A239" t="s">
        <v>91</v>
      </c>
      <c r="B239" t="s">
        <v>92</v>
      </c>
      <c r="C239" s="59"/>
      <c r="D239" s="59"/>
      <c r="E239" s="59">
        <v>1.1999999999999999E-3</v>
      </c>
      <c r="F239" s="59">
        <v>1.2999999999999999E-3</v>
      </c>
      <c r="G239" s="59">
        <v>1.6000000000000001E-3</v>
      </c>
      <c r="H239" s="59">
        <v>5.9999999999999995E-4</v>
      </c>
      <c r="I239" s="59">
        <v>1.6000000000000001E-3</v>
      </c>
      <c r="J239" s="59">
        <v>3.5000000000000001E-3</v>
      </c>
      <c r="K239" s="59"/>
      <c r="L239" s="59"/>
      <c r="M239" s="59"/>
      <c r="N239" s="59"/>
    </row>
    <row r="240" spans="1:14" x14ac:dyDescent="0.3">
      <c r="A240" t="s">
        <v>93</v>
      </c>
      <c r="B240" t="s">
        <v>94</v>
      </c>
      <c r="C240" s="59"/>
      <c r="D240" s="59"/>
      <c r="E240" s="59">
        <v>1E-3</v>
      </c>
      <c r="F240" s="59">
        <v>1.1000000000000001E-3</v>
      </c>
      <c r="G240" s="59">
        <v>1.1000000000000001E-3</v>
      </c>
      <c r="H240" s="59">
        <v>1.1999999999999999E-3</v>
      </c>
      <c r="I240" s="59">
        <v>1.2999999999999999E-3</v>
      </c>
      <c r="J240" s="59">
        <v>1.1000000000000001E-3</v>
      </c>
      <c r="K240" s="59"/>
      <c r="L240" s="59"/>
      <c r="M240" s="59"/>
      <c r="N240" s="59"/>
    </row>
    <row r="241" spans="1:14" x14ac:dyDescent="0.3">
      <c r="A241" t="s">
        <v>95</v>
      </c>
      <c r="B241" t="s">
        <v>96</v>
      </c>
      <c r="C241" s="59"/>
      <c r="D241" s="59"/>
      <c r="E241" s="59">
        <v>2.3E-3</v>
      </c>
      <c r="F241" s="59">
        <v>2.3E-3</v>
      </c>
      <c r="G241" s="59">
        <v>2.8E-3</v>
      </c>
      <c r="H241" s="59">
        <v>3.3E-3</v>
      </c>
      <c r="I241" s="59">
        <v>3.7000000000000002E-3</v>
      </c>
      <c r="J241" s="59">
        <v>4.1000000000000003E-3</v>
      </c>
      <c r="K241" s="59"/>
      <c r="L241" s="59"/>
      <c r="M241" s="59"/>
      <c r="N241" s="59"/>
    </row>
    <row r="242" spans="1:14" x14ac:dyDescent="0.3">
      <c r="A242" t="s">
        <v>97</v>
      </c>
      <c r="B242" t="s">
        <v>98</v>
      </c>
      <c r="C242" s="59"/>
      <c r="D242" s="59"/>
      <c r="E242" s="59">
        <v>2.0999999999999999E-3</v>
      </c>
      <c r="F242" s="59">
        <v>2.5999999999999999E-3</v>
      </c>
      <c r="G242" s="59">
        <v>2.7000000000000001E-3</v>
      </c>
      <c r="H242" s="59">
        <v>3.3E-3</v>
      </c>
      <c r="I242" s="59">
        <v>3.3999999999999998E-3</v>
      </c>
      <c r="J242" s="59">
        <v>3.8999999999999998E-3</v>
      </c>
      <c r="K242" s="59"/>
      <c r="L242" s="59"/>
      <c r="M242" s="59"/>
      <c r="N242" s="59"/>
    </row>
    <row r="243" spans="1:14" x14ac:dyDescent="0.3">
      <c r="A243" t="s">
        <v>99</v>
      </c>
      <c r="B243" t="s">
        <v>100</v>
      </c>
      <c r="C243" s="59"/>
      <c r="D243" s="59"/>
      <c r="E243" s="59">
        <v>2.8999999999999998E-3</v>
      </c>
      <c r="F243" s="59">
        <v>2.8E-3</v>
      </c>
      <c r="G243" s="59">
        <v>2.7000000000000001E-3</v>
      </c>
      <c r="H243" s="59">
        <v>3.7000000000000002E-3</v>
      </c>
      <c r="I243" s="59">
        <v>4.0000000000000001E-3</v>
      </c>
      <c r="J243" s="59">
        <v>4.1999999999999997E-3</v>
      </c>
      <c r="K243" s="59"/>
      <c r="L243" s="59"/>
      <c r="M243" s="59"/>
      <c r="N243" s="59"/>
    </row>
    <row r="244" spans="1:14" x14ac:dyDescent="0.3">
      <c r="A244" t="s">
        <v>101</v>
      </c>
      <c r="B244" t="s">
        <v>102</v>
      </c>
      <c r="C244" s="59"/>
      <c r="D244" s="59"/>
      <c r="E244" s="59">
        <v>1.4E-3</v>
      </c>
      <c r="F244" s="59">
        <v>1.1999999999999999E-3</v>
      </c>
      <c r="G244" s="59">
        <v>1.4E-3</v>
      </c>
      <c r="H244" s="59">
        <v>2.3999999999999998E-3</v>
      </c>
      <c r="I244" s="59">
        <v>2.3E-3</v>
      </c>
      <c r="J244" s="59">
        <v>2.3999999999999998E-3</v>
      </c>
      <c r="K244" s="59"/>
      <c r="L244" s="59"/>
      <c r="M244" s="59"/>
      <c r="N244" s="59"/>
    </row>
    <row r="245" spans="1:14" x14ac:dyDescent="0.3">
      <c r="A245" t="s">
        <v>103</v>
      </c>
      <c r="B245" t="s">
        <v>104</v>
      </c>
      <c r="C245" s="59"/>
      <c r="D245" s="59"/>
      <c r="E245" s="59">
        <v>2.5999999999999999E-3</v>
      </c>
      <c r="F245" s="59">
        <v>2.8999999999999998E-3</v>
      </c>
      <c r="G245" s="59">
        <v>2.8E-3</v>
      </c>
      <c r="H245" s="59">
        <v>3.3999999999999998E-3</v>
      </c>
      <c r="I245" s="59">
        <v>3.3999999999999998E-3</v>
      </c>
      <c r="J245" s="59">
        <v>3.7000000000000002E-3</v>
      </c>
      <c r="K245" s="59"/>
      <c r="L245" s="59"/>
      <c r="M245" s="59"/>
      <c r="N245" s="59"/>
    </row>
    <row r="246" spans="1:14" x14ac:dyDescent="0.3">
      <c r="A246" t="s">
        <v>105</v>
      </c>
      <c r="B246" t="s">
        <v>106</v>
      </c>
      <c r="C246" s="59"/>
      <c r="D246" s="59"/>
      <c r="E246" s="59">
        <v>4.8999999999999998E-3</v>
      </c>
      <c r="F246" s="59">
        <v>5.5999999999999999E-3</v>
      </c>
      <c r="G246" s="59">
        <v>5.0000000000000001E-3</v>
      </c>
      <c r="H246" s="59">
        <v>3.5000000000000001E-3</v>
      </c>
      <c r="I246" s="59">
        <v>3.7000000000000002E-3</v>
      </c>
      <c r="J246" s="59">
        <v>4.7000000000000002E-3</v>
      </c>
      <c r="K246" s="59"/>
      <c r="L246" s="59"/>
      <c r="M246" s="59"/>
      <c r="N246" s="59"/>
    </row>
    <row r="247" spans="1:14" x14ac:dyDescent="0.3">
      <c r="A247" t="s">
        <v>107</v>
      </c>
      <c r="B247" t="s">
        <v>108</v>
      </c>
      <c r="C247" s="59"/>
      <c r="D247" s="59"/>
      <c r="E247" s="59">
        <v>4.1000000000000003E-3</v>
      </c>
      <c r="F247" s="59">
        <v>6.7000000000000002E-3</v>
      </c>
      <c r="G247" s="59">
        <v>6.6E-3</v>
      </c>
      <c r="H247" s="59">
        <v>4.5999999999999999E-3</v>
      </c>
      <c r="I247" s="59">
        <v>4.4000000000000003E-3</v>
      </c>
      <c r="J247" s="59">
        <v>5.8999999999999999E-3</v>
      </c>
      <c r="K247" s="59"/>
      <c r="L247" s="59"/>
      <c r="M247" s="59"/>
      <c r="N247" s="59"/>
    </row>
    <row r="248" spans="1:14" x14ac:dyDescent="0.3">
      <c r="A248" t="s">
        <v>109</v>
      </c>
      <c r="B248" t="s">
        <v>110</v>
      </c>
      <c r="C248" s="59"/>
      <c r="D248" s="59"/>
      <c r="E248" s="59">
        <v>8.0000000000000004E-4</v>
      </c>
      <c r="F248" s="59">
        <v>1.8E-3</v>
      </c>
      <c r="G248" s="59">
        <v>5.0000000000000001E-4</v>
      </c>
      <c r="H248" s="59">
        <v>6.9999999999999999E-4</v>
      </c>
      <c r="I248" s="59">
        <v>2.7000000000000001E-3</v>
      </c>
      <c r="J248" s="59">
        <v>4.8999999999999998E-3</v>
      </c>
      <c r="K248" s="59"/>
      <c r="L248" s="59"/>
      <c r="M248" s="59"/>
      <c r="N248" s="59"/>
    </row>
    <row r="249" spans="1:14" x14ac:dyDescent="0.3">
      <c r="A249" t="s">
        <v>111</v>
      </c>
      <c r="B249" t="s">
        <v>112</v>
      </c>
      <c r="C249" s="59"/>
      <c r="D249" s="59"/>
      <c r="E249" s="59">
        <v>3.8E-3</v>
      </c>
      <c r="F249" s="59">
        <v>3.5000000000000001E-3</v>
      </c>
      <c r="G249" s="59">
        <v>3.3999999999999998E-3</v>
      </c>
      <c r="H249" s="59">
        <v>3.8E-3</v>
      </c>
      <c r="I249" s="59">
        <v>4.4000000000000003E-3</v>
      </c>
      <c r="J249" s="59">
        <v>4.7999999999999996E-3</v>
      </c>
      <c r="K249" s="59"/>
      <c r="L249" s="59"/>
      <c r="M249" s="59"/>
      <c r="N249" s="59"/>
    </row>
    <row r="250" spans="1:14" x14ac:dyDescent="0.3">
      <c r="A250" t="s">
        <v>113</v>
      </c>
      <c r="B250" t="s">
        <v>114</v>
      </c>
      <c r="C250" s="59"/>
      <c r="D250" s="59"/>
      <c r="E250" s="59">
        <v>1.6999999999999999E-3</v>
      </c>
      <c r="F250" s="59">
        <v>1.8E-3</v>
      </c>
      <c r="G250" s="59">
        <v>2.3999999999999998E-3</v>
      </c>
      <c r="H250" s="59">
        <v>4.0000000000000001E-3</v>
      </c>
      <c r="I250" s="59">
        <v>4.4000000000000003E-3</v>
      </c>
      <c r="J250" s="59">
        <v>5.1999999999999998E-3</v>
      </c>
      <c r="K250" s="59"/>
      <c r="L250" s="59"/>
      <c r="M250" s="59"/>
      <c r="N250" s="59"/>
    </row>
    <row r="251" spans="1:14" x14ac:dyDescent="0.3">
      <c r="A251" t="s">
        <v>115</v>
      </c>
      <c r="B251" t="s">
        <v>116</v>
      </c>
      <c r="C251" s="59"/>
      <c r="D251" s="59"/>
      <c r="E251" s="59">
        <v>3.0000000000000001E-3</v>
      </c>
      <c r="F251" s="59">
        <v>3.5999999999999999E-3</v>
      </c>
      <c r="G251" s="59">
        <v>4.4999999999999997E-3</v>
      </c>
      <c r="H251" s="59">
        <v>4.0000000000000001E-3</v>
      </c>
      <c r="I251" s="59">
        <v>4.3E-3</v>
      </c>
      <c r="J251" s="59">
        <v>5.0000000000000001E-3</v>
      </c>
      <c r="K251" s="59"/>
      <c r="L251" s="59"/>
      <c r="M251" s="59"/>
      <c r="N251" s="59"/>
    </row>
    <row r="252" spans="1:14" x14ac:dyDescent="0.3">
      <c r="A252" t="s">
        <v>117</v>
      </c>
      <c r="B252" t="s">
        <v>118</v>
      </c>
      <c r="C252" s="59"/>
      <c r="D252" s="59"/>
      <c r="E252" s="59">
        <v>3.2000000000000002E-3</v>
      </c>
      <c r="F252" s="59">
        <v>6.1999999999999998E-3</v>
      </c>
      <c r="G252" s="59">
        <v>9.1999999999999998E-3</v>
      </c>
      <c r="H252" s="59">
        <v>5.4000000000000003E-3</v>
      </c>
      <c r="I252" s="59">
        <v>5.0000000000000001E-3</v>
      </c>
      <c r="J252" s="59">
        <v>4.4999999999999997E-3</v>
      </c>
      <c r="K252" s="59"/>
      <c r="L252" s="59"/>
      <c r="M252" s="59"/>
      <c r="N252" s="59"/>
    </row>
    <row r="253" spans="1:14" x14ac:dyDescent="0.3">
      <c r="A253" t="s">
        <v>119</v>
      </c>
      <c r="B253" t="s">
        <v>120</v>
      </c>
      <c r="C253" s="59"/>
      <c r="D253" s="59"/>
      <c r="E253" s="59">
        <v>3.9399999999999998E-2</v>
      </c>
      <c r="F253" s="59">
        <v>4.5900000000000003E-2</v>
      </c>
      <c r="G253" s="59">
        <v>4.8500000000000001E-2</v>
      </c>
      <c r="H253" s="59">
        <v>5.7299999999999997E-2</v>
      </c>
      <c r="I253" s="59">
        <v>5.3199999999999997E-2</v>
      </c>
      <c r="J253" s="59">
        <v>5.9400000000000001E-2</v>
      </c>
      <c r="K253" s="59"/>
      <c r="L253" s="59"/>
      <c r="M253" s="59"/>
      <c r="N253" s="59"/>
    </row>
    <row r="254" spans="1:14" x14ac:dyDescent="0.3">
      <c r="A254" t="s">
        <v>121</v>
      </c>
      <c r="B254" t="s">
        <v>122</v>
      </c>
      <c r="C254" s="59"/>
      <c r="D254" s="59"/>
      <c r="E254" s="59">
        <v>8.3999999999999995E-3</v>
      </c>
      <c r="F254" s="59">
        <v>1.0500000000000001E-2</v>
      </c>
      <c r="G254" s="59">
        <v>9.5999999999999992E-3</v>
      </c>
      <c r="H254" s="59">
        <v>7.3000000000000001E-3</v>
      </c>
      <c r="I254" s="59">
        <v>8.0999999999999996E-3</v>
      </c>
      <c r="J254" s="59">
        <v>1.06E-2</v>
      </c>
      <c r="K254" s="59"/>
      <c r="L254" s="59"/>
      <c r="M254" s="59"/>
      <c r="N254" s="59"/>
    </row>
    <row r="255" spans="1:14" x14ac:dyDescent="0.3">
      <c r="A255" t="s">
        <v>123</v>
      </c>
      <c r="B255" t="s">
        <v>124</v>
      </c>
      <c r="C255" s="59"/>
      <c r="D255" s="59"/>
      <c r="E255" s="59">
        <v>2.8999999999999998E-3</v>
      </c>
      <c r="F255" s="59">
        <v>3.2000000000000002E-3</v>
      </c>
      <c r="G255" s="59">
        <v>3.5000000000000001E-3</v>
      </c>
      <c r="H255" s="59">
        <v>4.3E-3</v>
      </c>
      <c r="I255" s="59">
        <v>4.4000000000000003E-3</v>
      </c>
      <c r="J255" s="59">
        <v>4.8999999999999998E-3</v>
      </c>
      <c r="K255" s="59"/>
      <c r="L255" s="59"/>
      <c r="M255" s="59"/>
      <c r="N255" s="59"/>
    </row>
    <row r="256" spans="1:14" x14ac:dyDescent="0.3">
      <c r="A256" t="s">
        <v>125</v>
      </c>
      <c r="B256" t="s">
        <v>126</v>
      </c>
      <c r="C256" s="59"/>
      <c r="D256" s="59"/>
      <c r="E256" s="59">
        <v>4.1000000000000003E-3</v>
      </c>
      <c r="F256" s="59">
        <v>3.5999999999999999E-3</v>
      </c>
      <c r="G256" s="59">
        <v>4.3E-3</v>
      </c>
      <c r="H256" s="59">
        <v>5.4000000000000003E-3</v>
      </c>
      <c r="I256" s="59">
        <v>5.3E-3</v>
      </c>
      <c r="J256" s="59">
        <v>5.4999999999999997E-3</v>
      </c>
      <c r="K256" s="59"/>
      <c r="L256" s="59"/>
      <c r="M256" s="59"/>
      <c r="N256" s="59"/>
    </row>
    <row r="257" spans="1:14" x14ac:dyDescent="0.3">
      <c r="A257" t="s">
        <v>127</v>
      </c>
      <c r="B257" t="s">
        <v>128</v>
      </c>
      <c r="C257" s="59"/>
      <c r="D257" s="59"/>
      <c r="E257" s="59">
        <v>5.5999999999999999E-3</v>
      </c>
      <c r="F257" s="59">
        <v>4.7000000000000002E-3</v>
      </c>
      <c r="G257" s="59">
        <v>2.2000000000000001E-3</v>
      </c>
      <c r="H257" s="59">
        <v>2.7000000000000001E-3</v>
      </c>
      <c r="I257" s="59">
        <v>3.0999999999999999E-3</v>
      </c>
      <c r="J257" s="59">
        <v>3.8E-3</v>
      </c>
      <c r="K257" s="59"/>
      <c r="L257" s="59"/>
      <c r="M257" s="59"/>
      <c r="N257" s="59"/>
    </row>
    <row r="258" spans="1:14" x14ac:dyDescent="0.3">
      <c r="A258" t="s">
        <v>129</v>
      </c>
      <c r="B258" t="s">
        <v>130</v>
      </c>
      <c r="C258" s="59"/>
      <c r="D258" s="59"/>
      <c r="E258" s="59">
        <v>7.1000000000000004E-3</v>
      </c>
      <c r="F258" s="59">
        <v>3.5999999999999999E-3</v>
      </c>
      <c r="G258" s="59">
        <v>3.3999999999999998E-3</v>
      </c>
      <c r="H258" s="59">
        <v>5.1999999999999998E-3</v>
      </c>
      <c r="I258" s="59">
        <v>5.1000000000000004E-3</v>
      </c>
      <c r="J258" s="59">
        <v>4.4999999999999997E-3</v>
      </c>
      <c r="K258" s="59"/>
      <c r="L258" s="59"/>
      <c r="M258" s="59"/>
      <c r="N258" s="59"/>
    </row>
    <row r="259" spans="1:14" x14ac:dyDescent="0.3">
      <c r="A259" t="s">
        <v>131</v>
      </c>
      <c r="B259" t="s">
        <v>132</v>
      </c>
      <c r="C259" s="59"/>
      <c r="D259" s="59"/>
      <c r="E259" s="59">
        <v>4.4999999999999997E-3</v>
      </c>
      <c r="F259" s="59">
        <v>3.8E-3</v>
      </c>
      <c r="G259" s="59">
        <v>5.1999999999999998E-3</v>
      </c>
      <c r="H259" s="59">
        <v>5.8999999999999999E-3</v>
      </c>
      <c r="I259" s="59">
        <v>6.6E-3</v>
      </c>
      <c r="J259" s="59">
        <v>6.6E-3</v>
      </c>
      <c r="K259" s="59"/>
      <c r="L259" s="59"/>
      <c r="M259" s="59"/>
      <c r="N259" s="59"/>
    </row>
    <row r="260" spans="1:14" x14ac:dyDescent="0.3">
      <c r="A260" t="s">
        <v>133</v>
      </c>
      <c r="B260" t="s">
        <v>134</v>
      </c>
      <c r="C260" s="59"/>
      <c r="D260" s="59"/>
      <c r="E260" s="59">
        <v>1.5E-3</v>
      </c>
      <c r="F260" s="59">
        <v>2.0000000000000001E-4</v>
      </c>
      <c r="G260" s="59">
        <v>5.9999999999999995E-4</v>
      </c>
      <c r="H260" s="59">
        <v>3.5000000000000001E-3</v>
      </c>
      <c r="I260" s="59">
        <v>4.5999999999999999E-3</v>
      </c>
      <c r="J260" s="59">
        <v>6.1000000000000004E-3</v>
      </c>
      <c r="K260" s="59"/>
      <c r="L260" s="59"/>
      <c r="M260" s="59"/>
      <c r="N260" s="59"/>
    </row>
    <row r="261" spans="1:14" x14ac:dyDescent="0.3">
      <c r="A261" t="s">
        <v>135</v>
      </c>
      <c r="B261" t="s">
        <v>136</v>
      </c>
      <c r="C261" s="59"/>
      <c r="D261" s="59"/>
      <c r="E261" s="59">
        <v>3.5999999999999999E-3</v>
      </c>
      <c r="F261" s="59">
        <v>5.5999999999999999E-3</v>
      </c>
      <c r="G261" s="59">
        <v>3.3999999999999998E-3</v>
      </c>
      <c r="H261" s="59">
        <v>5.1999999999999998E-3</v>
      </c>
      <c r="I261" s="59">
        <v>5.1000000000000004E-3</v>
      </c>
      <c r="J261" s="59">
        <v>4.4999999999999997E-3</v>
      </c>
      <c r="K261" s="59"/>
      <c r="L261" s="59"/>
      <c r="M261" s="59"/>
      <c r="N261" s="59"/>
    </row>
    <row r="262" spans="1:14" x14ac:dyDescent="0.3">
      <c r="A262" t="s">
        <v>137</v>
      </c>
      <c r="B262" t="s">
        <v>138</v>
      </c>
      <c r="C262" s="59"/>
      <c r="D262" s="59"/>
      <c r="E262" s="59">
        <v>8.9999999999999998E-4</v>
      </c>
      <c r="F262" s="59">
        <v>1E-3</v>
      </c>
      <c r="G262" s="59">
        <v>1E-3</v>
      </c>
      <c r="H262" s="59">
        <v>1.2999999999999999E-3</v>
      </c>
      <c r="I262" s="59">
        <v>1.6000000000000001E-3</v>
      </c>
      <c r="J262" s="59">
        <v>1.8E-3</v>
      </c>
      <c r="K262" s="59"/>
      <c r="L262" s="59"/>
      <c r="M262" s="59"/>
      <c r="N262" s="59"/>
    </row>
    <row r="263" spans="1:14" x14ac:dyDescent="0.3">
      <c r="A263" t="s">
        <v>139</v>
      </c>
      <c r="B263" t="s">
        <v>140</v>
      </c>
      <c r="C263" s="59"/>
      <c r="D263" s="59"/>
      <c r="E263" s="59">
        <v>2.9999999999999997E-4</v>
      </c>
      <c r="F263" s="59">
        <v>1E-4</v>
      </c>
      <c r="G263" s="59">
        <v>1E-4</v>
      </c>
      <c r="H263" s="59">
        <v>1.5E-3</v>
      </c>
      <c r="I263" s="59">
        <v>1.8E-3</v>
      </c>
      <c r="J263" s="59">
        <v>1.6000000000000001E-3</v>
      </c>
      <c r="K263" s="59"/>
      <c r="L263" s="59"/>
      <c r="M263" s="59"/>
      <c r="N263" s="59"/>
    </row>
    <row r="264" spans="1:14" x14ac:dyDescent="0.3">
      <c r="A264" t="s">
        <v>141</v>
      </c>
      <c r="B264" t="s">
        <v>142</v>
      </c>
      <c r="C264" s="59"/>
      <c r="D264" s="59"/>
      <c r="E264" s="59">
        <v>1E-4</v>
      </c>
      <c r="F264" s="59">
        <v>2.9999999999999997E-4</v>
      </c>
      <c r="G264" s="59">
        <v>4.0000000000000002E-4</v>
      </c>
      <c r="H264" s="59">
        <v>1.2999999999999999E-3</v>
      </c>
      <c r="I264" s="59">
        <v>1.8E-3</v>
      </c>
      <c r="J264" s="59">
        <v>1.9E-3</v>
      </c>
      <c r="K264" s="59"/>
      <c r="L264" s="59"/>
      <c r="M264" s="59"/>
      <c r="N264" s="59"/>
    </row>
    <row r="265" spans="1:14" x14ac:dyDescent="0.3">
      <c r="A265" t="s">
        <v>143</v>
      </c>
      <c r="B265" t="s">
        <v>144</v>
      </c>
      <c r="C265" s="59"/>
      <c r="D265" s="59"/>
      <c r="E265" s="59">
        <v>5.9999999999999995E-4</v>
      </c>
      <c r="F265" s="59">
        <v>5.0000000000000001E-4</v>
      </c>
      <c r="G265" s="59">
        <v>4.0000000000000002E-4</v>
      </c>
      <c r="H265" s="59">
        <v>1.1000000000000001E-3</v>
      </c>
      <c r="I265" s="59">
        <v>1.8E-3</v>
      </c>
      <c r="J265" s="59">
        <v>2.8E-3</v>
      </c>
      <c r="K265" s="59"/>
      <c r="L265" s="59"/>
      <c r="M265" s="59"/>
      <c r="N265" s="59"/>
    </row>
    <row r="266" spans="1:14" x14ac:dyDescent="0.3">
      <c r="A266" t="s">
        <v>145</v>
      </c>
      <c r="B266" t="s">
        <v>146</v>
      </c>
      <c r="C266" s="59"/>
      <c r="D266" s="59"/>
      <c r="E266" s="59">
        <v>8.0000000000000004E-4</v>
      </c>
      <c r="F266" s="59">
        <v>1E-3</v>
      </c>
      <c r="G266" s="59">
        <v>4.0000000000000002E-4</v>
      </c>
      <c r="H266" s="59">
        <v>1.4E-3</v>
      </c>
      <c r="I266" s="59">
        <v>2.0999999999999999E-3</v>
      </c>
      <c r="J266" s="59">
        <v>2.3E-3</v>
      </c>
      <c r="K266" s="59"/>
      <c r="L266" s="59"/>
      <c r="M266" s="59"/>
      <c r="N266" s="59"/>
    </row>
    <row r="267" spans="1:14" x14ac:dyDescent="0.3">
      <c r="A267" t="s">
        <v>147</v>
      </c>
      <c r="B267" t="s">
        <v>148</v>
      </c>
      <c r="C267" s="59"/>
      <c r="D267" s="59"/>
      <c r="E267" s="59">
        <v>2.3E-3</v>
      </c>
      <c r="F267" s="59">
        <v>2.2000000000000001E-3</v>
      </c>
      <c r="G267" s="59">
        <v>1.5E-3</v>
      </c>
      <c r="H267" s="59">
        <v>1.1999999999999999E-3</v>
      </c>
      <c r="I267" s="59">
        <v>1.6000000000000001E-3</v>
      </c>
      <c r="J267" s="59">
        <v>1.9E-3</v>
      </c>
      <c r="K267" s="59"/>
      <c r="L267" s="59"/>
      <c r="M267" s="59"/>
      <c r="N267" s="59"/>
    </row>
    <row r="268" spans="1:14" x14ac:dyDescent="0.3">
      <c r="A268" t="s">
        <v>149</v>
      </c>
      <c r="B268" t="s">
        <v>150</v>
      </c>
      <c r="C268" s="59"/>
      <c r="D268" s="59"/>
      <c r="E268" s="59">
        <v>1.1299999999999999E-2</v>
      </c>
      <c r="F268" s="59">
        <v>1.1900000000000001E-2</v>
      </c>
      <c r="G268" s="59">
        <v>1.2999999999999999E-2</v>
      </c>
      <c r="H268" s="59">
        <v>1.52E-2</v>
      </c>
      <c r="I268" s="59">
        <v>1.4E-2</v>
      </c>
      <c r="J268" s="59">
        <v>1.18E-2</v>
      </c>
      <c r="K268" s="59"/>
      <c r="L268" s="59"/>
      <c r="M268" s="59"/>
      <c r="N268" s="59"/>
    </row>
    <row r="269" spans="1:14" x14ac:dyDescent="0.3">
      <c r="A269" t="s">
        <v>151</v>
      </c>
      <c r="B269" t="s">
        <v>152</v>
      </c>
      <c r="C269" s="59"/>
      <c r="D269" s="59"/>
      <c r="E269" s="59">
        <v>5.9999999999999995E-4</v>
      </c>
      <c r="F269" s="59">
        <v>1.1999999999999999E-3</v>
      </c>
      <c r="G269" s="59">
        <v>1.4E-3</v>
      </c>
      <c r="H269" s="59">
        <v>2.7000000000000001E-3</v>
      </c>
      <c r="I269" s="59">
        <v>3.0999999999999999E-3</v>
      </c>
      <c r="J269" s="59">
        <v>3.5000000000000001E-3</v>
      </c>
      <c r="K269" s="59"/>
      <c r="L269" s="59"/>
      <c r="M269" s="59"/>
      <c r="N269" s="59"/>
    </row>
    <row r="270" spans="1:14" x14ac:dyDescent="0.3">
      <c r="A270" t="s">
        <v>153</v>
      </c>
      <c r="B270" t="s">
        <v>154</v>
      </c>
      <c r="C270" s="59"/>
      <c r="D270" s="59"/>
      <c r="E270" s="59">
        <v>2.5999999999999999E-3</v>
      </c>
      <c r="F270" s="59">
        <v>3.0000000000000001E-3</v>
      </c>
      <c r="G270" s="59">
        <v>3.0000000000000001E-3</v>
      </c>
      <c r="H270" s="59">
        <v>3.5999999999999999E-3</v>
      </c>
      <c r="I270" s="59">
        <v>3.5999999999999999E-3</v>
      </c>
      <c r="J270" s="59">
        <v>4.3E-3</v>
      </c>
      <c r="K270" s="59"/>
      <c r="L270" s="59"/>
      <c r="M270" s="59"/>
      <c r="N270" s="59"/>
    </row>
    <row r="273" spans="1:14" x14ac:dyDescent="0.3">
      <c r="A273" s="72" t="s">
        <v>261</v>
      </c>
    </row>
    <row r="274" spans="1:14" x14ac:dyDescent="0.3">
      <c r="A274" s="168" t="s">
        <v>260</v>
      </c>
      <c r="B274" s="168" t="s">
        <v>256</v>
      </c>
      <c r="C274" s="168" t="s">
        <v>218</v>
      </c>
      <c r="D274" s="168" t="s">
        <v>12</v>
      </c>
      <c r="E274" s="168" t="s">
        <v>217</v>
      </c>
      <c r="F274" s="168" t="s">
        <v>241</v>
      </c>
      <c r="G274" s="168" t="s">
        <v>242</v>
      </c>
      <c r="H274" s="168" t="s">
        <v>243</v>
      </c>
      <c r="I274" s="168" t="s">
        <v>244</v>
      </c>
      <c r="J274" s="168" t="s">
        <v>245</v>
      </c>
      <c r="K274" s="168" t="s">
        <v>246</v>
      </c>
      <c r="L274" s="168" t="s">
        <v>247</v>
      </c>
      <c r="M274" s="168" t="s">
        <v>248</v>
      </c>
      <c r="N274" s="168" t="s">
        <v>249</v>
      </c>
    </row>
    <row r="275" spans="1:14" x14ac:dyDescent="0.3">
      <c r="A275" s="179" t="s">
        <v>212</v>
      </c>
      <c r="B275" s="179"/>
      <c r="C275" s="170"/>
      <c r="D275" s="170"/>
      <c r="E275" s="61">
        <v>7.4000000000000003E-3</v>
      </c>
      <c r="F275" s="64">
        <v>7.4999999999999997E-3</v>
      </c>
      <c r="G275" s="170">
        <v>7.4999999999999997E-3</v>
      </c>
      <c r="H275" s="170">
        <v>7.6E-3</v>
      </c>
      <c r="I275" s="170">
        <v>7.7999999999999996E-3</v>
      </c>
      <c r="J275" s="170">
        <v>8.3999999999999995E-3</v>
      </c>
      <c r="K275" s="170"/>
      <c r="L275" s="170"/>
      <c r="M275" s="170"/>
      <c r="N275" s="170"/>
    </row>
    <row r="276" spans="1:14" x14ac:dyDescent="0.3">
      <c r="A276" s="179" t="s">
        <v>213</v>
      </c>
      <c r="B276" s="179"/>
      <c r="C276" s="179"/>
      <c r="D276" s="179"/>
      <c r="E276" s="61">
        <v>7.6E-3</v>
      </c>
      <c r="F276" s="64">
        <v>7.7000000000000002E-3</v>
      </c>
      <c r="G276" s="170">
        <v>7.7000000000000002E-3</v>
      </c>
      <c r="H276" s="180" t="s">
        <v>267</v>
      </c>
      <c r="I276" s="180" t="s">
        <v>267</v>
      </c>
      <c r="J276" s="179" t="s">
        <v>267</v>
      </c>
      <c r="K276" s="179"/>
      <c r="L276" s="179"/>
      <c r="M276" s="179"/>
      <c r="N276" s="179"/>
    </row>
    <row r="277" spans="1:14" x14ac:dyDescent="0.3">
      <c r="A277" s="179" t="s">
        <v>258</v>
      </c>
      <c r="B277" s="179"/>
      <c r="C277" s="179"/>
      <c r="D277" s="179"/>
      <c r="E277" s="61">
        <v>3.8999999999999998E-3</v>
      </c>
      <c r="F277" s="64">
        <v>4.1000000000000003E-3</v>
      </c>
      <c r="G277" s="170">
        <v>4.1000000000000003E-3</v>
      </c>
      <c r="H277" s="181">
        <v>4.7999999999999996E-3</v>
      </c>
      <c r="I277" s="171">
        <v>5.1999999999999998E-3</v>
      </c>
      <c r="J277" s="170">
        <v>5.5999999999999999E-3</v>
      </c>
      <c r="K277" s="179"/>
      <c r="L277" s="179"/>
      <c r="M277" s="179"/>
      <c r="N277" s="179"/>
    </row>
    <row r="278" spans="1:14" x14ac:dyDescent="0.3">
      <c r="A278" s="179" t="s">
        <v>262</v>
      </c>
      <c r="B278" s="179"/>
      <c r="C278" s="179"/>
      <c r="D278" s="179"/>
      <c r="E278" s="65">
        <v>1.47</v>
      </c>
      <c r="F278" s="65">
        <v>1.42</v>
      </c>
      <c r="G278" s="179">
        <v>1.42</v>
      </c>
      <c r="H278" s="182">
        <v>1.18</v>
      </c>
      <c r="I278" s="179">
        <v>1.1200000000000001</v>
      </c>
      <c r="J278" s="179">
        <v>1.1200000000000001</v>
      </c>
      <c r="K278" s="179"/>
      <c r="L278" s="179"/>
      <c r="M278" s="179"/>
      <c r="N278" s="179"/>
    </row>
    <row r="279" spans="1:14" x14ac:dyDescent="0.3">
      <c r="A279" s="179" t="s">
        <v>214</v>
      </c>
      <c r="B279" s="179"/>
      <c r="C279" s="179"/>
      <c r="D279" s="179"/>
      <c r="E279" s="61">
        <v>1.8E-3</v>
      </c>
      <c r="F279" s="64">
        <v>1.8E-3</v>
      </c>
      <c r="G279" s="170">
        <v>1.8E-3</v>
      </c>
      <c r="H279" s="181">
        <v>1.9E-3</v>
      </c>
      <c r="I279" s="181">
        <v>1.9E-3</v>
      </c>
      <c r="J279" s="170">
        <v>2.0999999999999999E-3</v>
      </c>
      <c r="K279" s="179"/>
      <c r="L279" s="179"/>
      <c r="M279" s="179"/>
      <c r="N279" s="179"/>
    </row>
    <row r="280" spans="1:14" x14ac:dyDescent="0.3">
      <c r="A280" s="179" t="s">
        <v>215</v>
      </c>
      <c r="B280" s="179"/>
      <c r="C280" s="179"/>
      <c r="D280" s="179"/>
      <c r="E280" s="61">
        <v>2.9600000000000001E-2</v>
      </c>
      <c r="F280" s="64">
        <v>0.03</v>
      </c>
      <c r="G280" s="170">
        <v>0.03</v>
      </c>
      <c r="H280" s="181">
        <v>3.04E-2</v>
      </c>
      <c r="I280" s="181">
        <v>3.1199999999999999E-2</v>
      </c>
      <c r="J280" s="170">
        <v>3.3599999999999998E-2</v>
      </c>
      <c r="K280" s="179"/>
      <c r="L280" s="179"/>
      <c r="M280" s="179"/>
      <c r="N280" s="179"/>
    </row>
    <row r="281" spans="1:14" x14ac:dyDescent="0.3">
      <c r="A281" s="179" t="s">
        <v>5</v>
      </c>
      <c r="B281" s="179"/>
      <c r="C281" s="179"/>
      <c r="D281" s="179"/>
      <c r="E281" s="62"/>
      <c r="F281" s="62"/>
      <c r="G281" s="179"/>
      <c r="H281" s="179"/>
      <c r="I281" s="179"/>
      <c r="J281" s="179"/>
      <c r="K281" s="179"/>
      <c r="L281" s="179"/>
      <c r="M281" s="179"/>
      <c r="N281" s="179"/>
    </row>
    <row r="282" spans="1:14" x14ac:dyDescent="0.3">
      <c r="A282" s="179" t="s">
        <v>6</v>
      </c>
      <c r="B282" s="179"/>
      <c r="C282" s="179"/>
      <c r="D282" s="179"/>
      <c r="E282" s="62"/>
      <c r="F282" s="62"/>
      <c r="G282" s="179"/>
      <c r="H282" s="179"/>
      <c r="I282" s="179"/>
      <c r="J282" s="179"/>
      <c r="K282" s="179"/>
      <c r="L282" s="179"/>
      <c r="M282" s="179"/>
      <c r="N282" s="179"/>
    </row>
    <row r="283" spans="1:14" x14ac:dyDescent="0.3">
      <c r="A283" s="179" t="s">
        <v>7</v>
      </c>
      <c r="B283" s="179"/>
      <c r="C283" s="179"/>
      <c r="D283" s="179"/>
      <c r="E283" s="63">
        <v>5</v>
      </c>
      <c r="F283" s="66">
        <v>5</v>
      </c>
      <c r="G283" s="183">
        <v>5</v>
      </c>
      <c r="H283" s="183">
        <v>5</v>
      </c>
      <c r="I283" s="179">
        <v>5</v>
      </c>
      <c r="J283" s="179">
        <v>5</v>
      </c>
      <c r="K283" s="179"/>
      <c r="L283" s="179"/>
      <c r="M283" s="179"/>
      <c r="N283" s="179"/>
    </row>
    <row r="284" spans="1:14" x14ac:dyDescent="0.3">
      <c r="A284" s="179" t="s">
        <v>8</v>
      </c>
      <c r="B284" s="179"/>
      <c r="C284" s="179"/>
      <c r="D284" s="179"/>
      <c r="E284" s="63">
        <v>2.5</v>
      </c>
      <c r="F284" s="66">
        <v>2.5</v>
      </c>
      <c r="G284" s="183">
        <v>2.5</v>
      </c>
      <c r="H284" s="183">
        <v>2.5</v>
      </c>
      <c r="I284" s="179">
        <v>2.5</v>
      </c>
      <c r="J284" s="179">
        <v>2.5</v>
      </c>
      <c r="K284" s="179"/>
      <c r="L284" s="179"/>
      <c r="M284" s="179"/>
      <c r="N284" s="179"/>
    </row>
    <row r="285" spans="1:14" x14ac:dyDescent="0.3">
      <c r="A285" s="179" t="s">
        <v>9</v>
      </c>
      <c r="B285" s="179"/>
      <c r="C285" s="179"/>
      <c r="D285" s="179"/>
      <c r="E285" s="63">
        <v>1.66</v>
      </c>
      <c r="F285" s="66">
        <v>1.66</v>
      </c>
      <c r="G285" s="179">
        <v>1.66</v>
      </c>
      <c r="H285" s="183">
        <v>1.66</v>
      </c>
      <c r="I285" s="179">
        <v>1.66</v>
      </c>
      <c r="J285" s="179">
        <v>1.66</v>
      </c>
      <c r="K285" s="179"/>
      <c r="L285" s="179"/>
      <c r="M285" s="179"/>
      <c r="N285" s="179"/>
    </row>
    <row r="286" spans="1:14" x14ac:dyDescent="0.3">
      <c r="A286" s="179" t="s">
        <v>10</v>
      </c>
      <c r="B286" s="179"/>
      <c r="C286" s="179"/>
      <c r="D286" s="179"/>
      <c r="E286" s="63">
        <v>1.25</v>
      </c>
      <c r="F286" s="66">
        <v>1.25</v>
      </c>
      <c r="G286" s="179">
        <v>1.25</v>
      </c>
      <c r="H286" s="183">
        <v>1.25</v>
      </c>
      <c r="I286" s="179">
        <v>1.25</v>
      </c>
      <c r="J286" s="179">
        <v>1.25</v>
      </c>
      <c r="K286" s="179"/>
      <c r="L286" s="179"/>
      <c r="M286" s="179"/>
      <c r="N286" s="179"/>
    </row>
    <row r="289" spans="1:14" x14ac:dyDescent="0.3">
      <c r="A289" s="72" t="s">
        <v>264</v>
      </c>
    </row>
    <row r="290" spans="1:14" x14ac:dyDescent="0.3">
      <c r="A290" s="168" t="s">
        <v>260</v>
      </c>
      <c r="B290" s="168" t="s">
        <v>256</v>
      </c>
      <c r="C290" s="168" t="s">
        <v>218</v>
      </c>
      <c r="D290" s="168" t="s">
        <v>12</v>
      </c>
      <c r="E290" s="168" t="s">
        <v>217</v>
      </c>
      <c r="F290" s="168" t="s">
        <v>241</v>
      </c>
      <c r="G290" s="168" t="s">
        <v>242</v>
      </c>
      <c r="H290" s="168" t="s">
        <v>243</v>
      </c>
      <c r="I290" s="168" t="s">
        <v>244</v>
      </c>
      <c r="J290" s="168" t="s">
        <v>245</v>
      </c>
      <c r="K290" s="168" t="s">
        <v>246</v>
      </c>
      <c r="L290" s="168" t="s">
        <v>247</v>
      </c>
      <c r="M290" s="168" t="s">
        <v>248</v>
      </c>
      <c r="N290" s="168" t="s">
        <v>249</v>
      </c>
    </row>
    <row r="291" spans="1:14" x14ac:dyDescent="0.3">
      <c r="A291" s="169" t="s">
        <v>212</v>
      </c>
      <c r="B291" s="169"/>
      <c r="C291" s="170"/>
      <c r="D291" s="171">
        <v>3.5999999999999999E-3</v>
      </c>
      <c r="E291" s="171">
        <v>3.5000000000000001E-3</v>
      </c>
      <c r="F291" s="171">
        <v>4.1000000000000003E-3</v>
      </c>
      <c r="G291" s="170">
        <v>4.3E-3</v>
      </c>
      <c r="H291" s="170">
        <v>5.1999999999999998E-3</v>
      </c>
      <c r="I291" s="170">
        <v>5.7999999999999996E-3</v>
      </c>
      <c r="J291" s="170">
        <v>6.7999999999999996E-3</v>
      </c>
      <c r="K291" s="170"/>
      <c r="L291" s="170"/>
      <c r="M291" s="170"/>
      <c r="N291" s="170"/>
    </row>
    <row r="292" spans="1:14" x14ac:dyDescent="0.3">
      <c r="A292" s="169" t="s">
        <v>213</v>
      </c>
      <c r="B292" s="169"/>
      <c r="C292" s="169"/>
      <c r="D292" s="171">
        <v>3.8999999999999998E-3</v>
      </c>
      <c r="E292" s="171">
        <v>4.0000000000000001E-3</v>
      </c>
      <c r="F292" s="171">
        <v>4.4999999999999997E-3</v>
      </c>
      <c r="G292" s="170">
        <v>4.7000000000000002E-3</v>
      </c>
      <c r="H292" s="172" t="s">
        <v>267</v>
      </c>
      <c r="I292" s="172" t="s">
        <v>267</v>
      </c>
      <c r="J292" s="169" t="s">
        <v>267</v>
      </c>
      <c r="K292" s="169"/>
      <c r="L292" s="169"/>
      <c r="M292" s="169"/>
      <c r="N292" s="169"/>
    </row>
    <row r="293" spans="1:14" x14ac:dyDescent="0.3">
      <c r="A293" s="169" t="s">
        <v>259</v>
      </c>
      <c r="B293" s="169"/>
      <c r="C293" s="169"/>
      <c r="D293" s="171">
        <v>2.3E-3</v>
      </c>
      <c r="E293" s="171">
        <v>2.2000000000000001E-3</v>
      </c>
      <c r="F293" s="171">
        <v>2.3999999999999998E-3</v>
      </c>
      <c r="G293" s="170">
        <v>2.5999999999999999E-3</v>
      </c>
      <c r="H293" s="173">
        <v>3.2000000000000002E-3</v>
      </c>
      <c r="I293" s="173">
        <v>3.5000000000000001E-3</v>
      </c>
      <c r="J293" s="170">
        <v>3.8999999999999998E-3</v>
      </c>
      <c r="K293" s="169"/>
      <c r="L293" s="169"/>
      <c r="M293" s="169"/>
      <c r="N293" s="169"/>
    </row>
    <row r="294" spans="1:14" x14ac:dyDescent="0.3">
      <c r="A294" s="169" t="s">
        <v>263</v>
      </c>
      <c r="B294" s="169"/>
      <c r="C294" s="169"/>
      <c r="D294" s="174">
        <v>1.3</v>
      </c>
      <c r="E294" s="174">
        <v>1.42</v>
      </c>
      <c r="F294" s="174">
        <v>1.45</v>
      </c>
      <c r="G294" s="169">
        <v>1.39</v>
      </c>
      <c r="H294" s="169">
        <v>1.21</v>
      </c>
      <c r="I294" s="169">
        <v>1.24</v>
      </c>
      <c r="J294" s="177">
        <v>1.3</v>
      </c>
      <c r="K294" s="169"/>
      <c r="L294" s="169"/>
      <c r="M294" s="169"/>
      <c r="N294" s="169"/>
    </row>
    <row r="295" spans="1:14" x14ac:dyDescent="0.3">
      <c r="A295" s="169" t="s">
        <v>214</v>
      </c>
      <c r="B295" s="169"/>
      <c r="C295" s="169"/>
      <c r="D295" s="171">
        <v>8.9999999999999998E-4</v>
      </c>
      <c r="E295" s="171">
        <v>8.0000000000000004E-4</v>
      </c>
      <c r="F295" s="171">
        <v>1E-3</v>
      </c>
      <c r="G295" s="170">
        <v>1E-3</v>
      </c>
      <c r="H295" s="173">
        <v>1.2999999999999999E-3</v>
      </c>
      <c r="I295" s="173">
        <v>1.4E-3</v>
      </c>
      <c r="J295" s="170">
        <v>1.6999999999999999E-3</v>
      </c>
      <c r="K295" s="169"/>
      <c r="L295" s="169"/>
      <c r="M295" s="169"/>
      <c r="N295" s="169"/>
    </row>
    <row r="296" spans="1:14" x14ac:dyDescent="0.3">
      <c r="A296" s="169" t="s">
        <v>215</v>
      </c>
      <c r="B296" s="169"/>
      <c r="C296" s="169"/>
      <c r="D296" s="171">
        <v>1.44E-2</v>
      </c>
      <c r="E296" s="171">
        <v>1.4E-2</v>
      </c>
      <c r="F296" s="171">
        <v>1.6400000000000001E-2</v>
      </c>
      <c r="G296" s="170">
        <v>1.72E-2</v>
      </c>
      <c r="H296" s="173">
        <v>2.0799999999999999E-2</v>
      </c>
      <c r="I296" s="173">
        <v>2.3199999999999998E-2</v>
      </c>
      <c r="J296" s="170">
        <v>2.7199999999999998E-2</v>
      </c>
      <c r="K296" s="169"/>
      <c r="L296" s="169"/>
      <c r="M296" s="169"/>
      <c r="N296" s="169"/>
    </row>
    <row r="297" spans="1:14" x14ac:dyDescent="0.3">
      <c r="A297" s="169" t="s">
        <v>216</v>
      </c>
      <c r="B297" s="169"/>
      <c r="C297" s="169"/>
      <c r="D297" s="171">
        <v>7.0999999999999994E-2</v>
      </c>
      <c r="E297" s="171">
        <v>6.8900000000000003E-2</v>
      </c>
      <c r="F297" s="171">
        <v>8.0299999999999996E-2</v>
      </c>
      <c r="G297" s="170">
        <v>8.48E-2</v>
      </c>
      <c r="H297" s="173">
        <v>0.1002</v>
      </c>
      <c r="I297" s="173">
        <v>9.3100000000000002E-2</v>
      </c>
      <c r="J297" s="170">
        <v>0.10390000000000001</v>
      </c>
      <c r="K297" s="169"/>
      <c r="L297" s="169"/>
      <c r="M297" s="169"/>
      <c r="N297" s="169"/>
    </row>
    <row r="298" spans="1:14" x14ac:dyDescent="0.3">
      <c r="A298" s="169" t="s">
        <v>5</v>
      </c>
      <c r="B298" s="169"/>
      <c r="C298" s="169"/>
      <c r="D298" s="175"/>
      <c r="E298" s="175"/>
      <c r="F298" s="175"/>
      <c r="G298" s="169"/>
      <c r="H298" s="169"/>
      <c r="I298" s="169"/>
      <c r="J298" s="169"/>
      <c r="K298" s="169"/>
      <c r="L298" s="169"/>
      <c r="M298" s="169"/>
      <c r="N298" s="169"/>
    </row>
    <row r="299" spans="1:14" x14ac:dyDescent="0.3">
      <c r="A299" s="169" t="s">
        <v>6</v>
      </c>
      <c r="B299" s="169"/>
      <c r="C299" s="169"/>
      <c r="D299" s="176"/>
      <c r="E299" s="176"/>
      <c r="F299" s="176"/>
      <c r="G299" s="169"/>
      <c r="H299" s="169"/>
      <c r="I299" s="169"/>
      <c r="J299" s="169"/>
      <c r="K299" s="169"/>
      <c r="L299" s="169"/>
      <c r="M299" s="169"/>
      <c r="N299" s="169"/>
    </row>
    <row r="300" spans="1:14" x14ac:dyDescent="0.3">
      <c r="A300" s="169" t="s">
        <v>7</v>
      </c>
      <c r="B300" s="169"/>
      <c r="C300" s="169"/>
      <c r="D300" s="176">
        <v>2</v>
      </c>
      <c r="E300" s="176">
        <v>2</v>
      </c>
      <c r="F300" s="176">
        <v>2</v>
      </c>
      <c r="G300" s="177">
        <v>2</v>
      </c>
      <c r="H300" s="177">
        <v>2</v>
      </c>
      <c r="I300" s="178">
        <v>2</v>
      </c>
      <c r="J300" s="178">
        <v>2</v>
      </c>
      <c r="K300" s="169"/>
      <c r="L300" s="169"/>
      <c r="M300" s="169"/>
      <c r="N300" s="169"/>
    </row>
    <row r="301" spans="1:14" x14ac:dyDescent="0.3">
      <c r="A301" s="169" t="s">
        <v>8</v>
      </c>
      <c r="B301" s="169"/>
      <c r="C301" s="169"/>
      <c r="D301" s="176">
        <v>1</v>
      </c>
      <c r="E301" s="176">
        <v>1</v>
      </c>
      <c r="F301" s="176">
        <v>1</v>
      </c>
      <c r="G301" s="177">
        <v>1</v>
      </c>
      <c r="H301" s="177">
        <v>1</v>
      </c>
      <c r="I301" s="178">
        <v>1</v>
      </c>
      <c r="J301" s="178">
        <v>1</v>
      </c>
      <c r="K301" s="169"/>
      <c r="L301" s="169"/>
      <c r="M301" s="169"/>
      <c r="N301" s="169"/>
    </row>
    <row r="302" spans="1:14" x14ac:dyDescent="0.3">
      <c r="A302" s="169" t="s">
        <v>9</v>
      </c>
      <c r="B302" s="169"/>
      <c r="C302" s="169"/>
      <c r="D302" s="176">
        <v>1</v>
      </c>
      <c r="E302" s="176">
        <v>1</v>
      </c>
      <c r="F302" s="176">
        <v>1</v>
      </c>
      <c r="G302" s="177">
        <v>1</v>
      </c>
      <c r="H302" s="177">
        <v>1</v>
      </c>
      <c r="I302" s="178">
        <v>1</v>
      </c>
      <c r="J302" s="178">
        <v>1</v>
      </c>
      <c r="K302" s="169"/>
      <c r="L302" s="169"/>
      <c r="M302" s="169"/>
      <c r="N302" s="169"/>
    </row>
    <row r="303" spans="1:14" x14ac:dyDescent="0.3">
      <c r="A303" s="169" t="s">
        <v>10</v>
      </c>
      <c r="B303" s="169"/>
      <c r="C303" s="169"/>
      <c r="D303" s="176">
        <v>1</v>
      </c>
      <c r="E303" s="176">
        <v>1</v>
      </c>
      <c r="F303" s="176">
        <v>1</v>
      </c>
      <c r="G303" s="177">
        <v>1</v>
      </c>
      <c r="H303" s="177">
        <v>1</v>
      </c>
      <c r="I303" s="178">
        <v>1</v>
      </c>
      <c r="J303" s="178">
        <v>1</v>
      </c>
      <c r="K303" s="169"/>
      <c r="L303" s="169"/>
      <c r="M303" s="169"/>
      <c r="N303" s="169"/>
    </row>
    <row r="306" spans="1:1" x14ac:dyDescent="0.3">
      <c r="A306" s="179" t="s">
        <v>269</v>
      </c>
    </row>
    <row r="307" spans="1:1" x14ac:dyDescent="0.3">
      <c r="A307" s="169" t="s">
        <v>221</v>
      </c>
    </row>
    <row r="308" spans="1:1" x14ac:dyDescent="0.3">
      <c r="A308" s="169" t="s">
        <v>222</v>
      </c>
    </row>
    <row r="309" spans="1:1" x14ac:dyDescent="0.3">
      <c r="A309" s="169" t="s">
        <v>23</v>
      </c>
    </row>
    <row r="310" spans="1:1" x14ac:dyDescent="0.3">
      <c r="A310" s="169" t="s">
        <v>223</v>
      </c>
    </row>
    <row r="311" spans="1:1" x14ac:dyDescent="0.3">
      <c r="A311" s="169" t="s">
        <v>224</v>
      </c>
    </row>
    <row r="312" spans="1:1" x14ac:dyDescent="0.3">
      <c r="A312" s="169" t="s">
        <v>27</v>
      </c>
    </row>
    <row r="313" spans="1:1" x14ac:dyDescent="0.3">
      <c r="A313" s="169" t="s">
        <v>29</v>
      </c>
    </row>
    <row r="314" spans="1:1" x14ac:dyDescent="0.3">
      <c r="A314" s="169" t="s">
        <v>31</v>
      </c>
    </row>
    <row r="315" spans="1:1" x14ac:dyDescent="0.3">
      <c r="A315" s="169" t="s">
        <v>33</v>
      </c>
    </row>
    <row r="316" spans="1:1" x14ac:dyDescent="0.3">
      <c r="A316" s="169" t="s">
        <v>35</v>
      </c>
    </row>
    <row r="317" spans="1:1" x14ac:dyDescent="0.3">
      <c r="A317" s="169" t="s">
        <v>37</v>
      </c>
    </row>
    <row r="318" spans="1:1" x14ac:dyDescent="0.3">
      <c r="A318" s="169" t="s">
        <v>39</v>
      </c>
    </row>
    <row r="319" spans="1:1" x14ac:dyDescent="0.3">
      <c r="A319" s="169" t="s">
        <v>41</v>
      </c>
    </row>
    <row r="320" spans="1:1" x14ac:dyDescent="0.3">
      <c r="A320" s="169" t="s">
        <v>43</v>
      </c>
    </row>
    <row r="321" spans="1:1" x14ac:dyDescent="0.3">
      <c r="A321" s="169" t="s">
        <v>45</v>
      </c>
    </row>
    <row r="322" spans="1:1" x14ac:dyDescent="0.3">
      <c r="A322" s="169" t="s">
        <v>47</v>
      </c>
    </row>
    <row r="323" spans="1:1" x14ac:dyDescent="0.3">
      <c r="A323" s="169" t="s">
        <v>49</v>
      </c>
    </row>
    <row r="324" spans="1:1" x14ac:dyDescent="0.3">
      <c r="A324" s="169" t="s">
        <v>51</v>
      </c>
    </row>
    <row r="325" spans="1:1" x14ac:dyDescent="0.3">
      <c r="A325" s="169" t="s">
        <v>53</v>
      </c>
    </row>
    <row r="326" spans="1:1" x14ac:dyDescent="0.3">
      <c r="A326" s="169" t="s">
        <v>55</v>
      </c>
    </row>
    <row r="327" spans="1:1" x14ac:dyDescent="0.3">
      <c r="A327" s="169" t="s">
        <v>57</v>
      </c>
    </row>
    <row r="328" spans="1:1" x14ac:dyDescent="0.3">
      <c r="A328" s="169" t="s">
        <v>59</v>
      </c>
    </row>
    <row r="329" spans="1:1" x14ac:dyDescent="0.3">
      <c r="A329" s="169" t="s">
        <v>61</v>
      </c>
    </row>
    <row r="330" spans="1:1" x14ac:dyDescent="0.3">
      <c r="A330" s="169" t="s">
        <v>63</v>
      </c>
    </row>
    <row r="331" spans="1:1" x14ac:dyDescent="0.3">
      <c r="A331" s="169" t="s">
        <v>65</v>
      </c>
    </row>
    <row r="332" spans="1:1" x14ac:dyDescent="0.3">
      <c r="A332" s="169" t="s">
        <v>67</v>
      </c>
    </row>
    <row r="333" spans="1:1" x14ac:dyDescent="0.3">
      <c r="A333" s="169" t="s">
        <v>69</v>
      </c>
    </row>
    <row r="334" spans="1:1" x14ac:dyDescent="0.3">
      <c r="A334" s="169" t="s">
        <v>71</v>
      </c>
    </row>
    <row r="335" spans="1:1" x14ac:dyDescent="0.3">
      <c r="A335" s="169" t="s">
        <v>73</v>
      </c>
    </row>
    <row r="336" spans="1:1" x14ac:dyDescent="0.3">
      <c r="A336" s="169" t="s">
        <v>75</v>
      </c>
    </row>
    <row r="337" spans="1:1" x14ac:dyDescent="0.3">
      <c r="A337" s="169" t="s">
        <v>77</v>
      </c>
    </row>
    <row r="338" spans="1:1" x14ac:dyDescent="0.3">
      <c r="A338" s="169" t="s">
        <v>79</v>
      </c>
    </row>
    <row r="339" spans="1:1" x14ac:dyDescent="0.3">
      <c r="A339" s="169" t="s">
        <v>81</v>
      </c>
    </row>
    <row r="340" spans="1:1" x14ac:dyDescent="0.3">
      <c r="A340" s="169" t="s">
        <v>83</v>
      </c>
    </row>
    <row r="341" spans="1:1" x14ac:dyDescent="0.3">
      <c r="A341" s="169" t="s">
        <v>227</v>
      </c>
    </row>
    <row r="342" spans="1:1" x14ac:dyDescent="0.3">
      <c r="A342" s="169" t="s">
        <v>228</v>
      </c>
    </row>
    <row r="343" spans="1:1" x14ac:dyDescent="0.3">
      <c r="A343" s="169" t="s">
        <v>87</v>
      </c>
    </row>
    <row r="344" spans="1:1" x14ac:dyDescent="0.3">
      <c r="A344" s="169" t="s">
        <v>89</v>
      </c>
    </row>
    <row r="345" spans="1:1" x14ac:dyDescent="0.3">
      <c r="A345" s="169" t="s">
        <v>91</v>
      </c>
    </row>
    <row r="346" spans="1:1" x14ac:dyDescent="0.3">
      <c r="A346" s="169" t="s">
        <v>93</v>
      </c>
    </row>
    <row r="347" spans="1:1" x14ac:dyDescent="0.3">
      <c r="A347" s="169" t="s">
        <v>95</v>
      </c>
    </row>
    <row r="348" spans="1:1" x14ac:dyDescent="0.3">
      <c r="A348" s="169" t="s">
        <v>97</v>
      </c>
    </row>
    <row r="349" spans="1:1" x14ac:dyDescent="0.3">
      <c r="A349" s="169" t="s">
        <v>99</v>
      </c>
    </row>
    <row r="350" spans="1:1" x14ac:dyDescent="0.3">
      <c r="A350" s="169" t="s">
        <v>101</v>
      </c>
    </row>
    <row r="351" spans="1:1" x14ac:dyDescent="0.3">
      <c r="A351" s="169" t="s">
        <v>103</v>
      </c>
    </row>
    <row r="352" spans="1:1" x14ac:dyDescent="0.3">
      <c r="A352" s="169" t="s">
        <v>105</v>
      </c>
    </row>
    <row r="353" spans="1:1" x14ac:dyDescent="0.3">
      <c r="A353" s="169" t="s">
        <v>107</v>
      </c>
    </row>
    <row r="354" spans="1:1" x14ac:dyDescent="0.3">
      <c r="A354" s="169" t="s">
        <v>109</v>
      </c>
    </row>
    <row r="355" spans="1:1" x14ac:dyDescent="0.3">
      <c r="A355" s="169" t="s">
        <v>111</v>
      </c>
    </row>
    <row r="356" spans="1:1" x14ac:dyDescent="0.3">
      <c r="A356" s="169" t="s">
        <v>113</v>
      </c>
    </row>
    <row r="357" spans="1:1" x14ac:dyDescent="0.3">
      <c r="A357" s="169" t="s">
        <v>115</v>
      </c>
    </row>
    <row r="358" spans="1:1" x14ac:dyDescent="0.3">
      <c r="A358" s="169" t="s">
        <v>117</v>
      </c>
    </row>
    <row r="359" spans="1:1" x14ac:dyDescent="0.3">
      <c r="A359" s="169" t="s">
        <v>229</v>
      </c>
    </row>
    <row r="360" spans="1:1" x14ac:dyDescent="0.3">
      <c r="A360" s="169" t="s">
        <v>230</v>
      </c>
    </row>
    <row r="361" spans="1:1" x14ac:dyDescent="0.3">
      <c r="A361" s="169" t="s">
        <v>231</v>
      </c>
    </row>
    <row r="362" spans="1:1" x14ac:dyDescent="0.3">
      <c r="A362" s="169" t="s">
        <v>232</v>
      </c>
    </row>
    <row r="363" spans="1:1" x14ac:dyDescent="0.3">
      <c r="A363" s="169" t="s">
        <v>233</v>
      </c>
    </row>
    <row r="364" spans="1:1" x14ac:dyDescent="0.3">
      <c r="A364" s="169" t="s">
        <v>121</v>
      </c>
    </row>
    <row r="365" spans="1:1" x14ac:dyDescent="0.3">
      <c r="A365" s="169" t="s">
        <v>234</v>
      </c>
    </row>
    <row r="366" spans="1:1" x14ac:dyDescent="0.3">
      <c r="A366" s="169" t="s">
        <v>235</v>
      </c>
    </row>
    <row r="367" spans="1:1" x14ac:dyDescent="0.3">
      <c r="A367" s="169" t="s">
        <v>125</v>
      </c>
    </row>
    <row r="368" spans="1:1" x14ac:dyDescent="0.3">
      <c r="A368" s="169" t="s">
        <v>236</v>
      </c>
    </row>
    <row r="369" spans="1:1" x14ac:dyDescent="0.3">
      <c r="A369" s="169" t="s">
        <v>237</v>
      </c>
    </row>
    <row r="370" spans="1:1" x14ac:dyDescent="0.3">
      <c r="A370" s="169" t="s">
        <v>129</v>
      </c>
    </row>
    <row r="371" spans="1:1" x14ac:dyDescent="0.3">
      <c r="A371" s="169" t="s">
        <v>131</v>
      </c>
    </row>
    <row r="372" spans="1:1" x14ac:dyDescent="0.3">
      <c r="A372" s="169" t="s">
        <v>133</v>
      </c>
    </row>
    <row r="373" spans="1:1" x14ac:dyDescent="0.3">
      <c r="A373" s="169" t="s">
        <v>135</v>
      </c>
    </row>
    <row r="374" spans="1:1" x14ac:dyDescent="0.3">
      <c r="A374" s="169" t="s">
        <v>137</v>
      </c>
    </row>
    <row r="375" spans="1:1" x14ac:dyDescent="0.3">
      <c r="A375" s="169" t="s">
        <v>139</v>
      </c>
    </row>
    <row r="376" spans="1:1" x14ac:dyDescent="0.3">
      <c r="A376" s="169" t="s">
        <v>141</v>
      </c>
    </row>
    <row r="377" spans="1:1" x14ac:dyDescent="0.3">
      <c r="A377" s="169" t="s">
        <v>143</v>
      </c>
    </row>
    <row r="378" spans="1:1" x14ac:dyDescent="0.3">
      <c r="A378" s="169" t="s">
        <v>145</v>
      </c>
    </row>
    <row r="379" spans="1:1" x14ac:dyDescent="0.3">
      <c r="A379" s="169" t="s">
        <v>147</v>
      </c>
    </row>
    <row r="380" spans="1:1" x14ac:dyDescent="0.3">
      <c r="A380" s="169" t="s">
        <v>149</v>
      </c>
    </row>
    <row r="381" spans="1:1" x14ac:dyDescent="0.3">
      <c r="A381" s="169" t="s">
        <v>151</v>
      </c>
    </row>
    <row r="382" spans="1:1" x14ac:dyDescent="0.3">
      <c r="A382" s="169" t="s">
        <v>153</v>
      </c>
    </row>
  </sheetData>
  <pageMargins left="0.7" right="0.7" top="0.75" bottom="0.75" header="0.3" footer="0.3"/>
  <pageSetup paperSize="9" scale="38" fitToHeight="0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19d8cd-d016-4ba8-bdcf-b1e473862b37">WSFLEX-139251069-8139</_dlc_DocId>
    <_dlc_DocIdUrl xmlns="5219d8cd-d016-4ba8-bdcf-b1e473862b37">
      <Url>https://workspace.mazars.nl/team/Flex/_layouts/15/DocIdRedir.aspx?ID=WSFLEX-139251069-8139</Url>
      <Description>WSFLEX-139251069-8139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F6E28DF976F14582072419C37E100B" ma:contentTypeVersion="2" ma:contentTypeDescription="Een nieuw document maken." ma:contentTypeScope="" ma:versionID="aa453572b72c7d9cd98c4eaee37c56a9">
  <xsd:schema xmlns:xsd="http://www.w3.org/2001/XMLSchema" xmlns:xs="http://www.w3.org/2001/XMLSchema" xmlns:p="http://schemas.microsoft.com/office/2006/metadata/properties" xmlns:ns2="5219d8cd-d016-4ba8-bdcf-b1e473862b37" targetNamespace="http://schemas.microsoft.com/office/2006/metadata/properties" ma:root="true" ma:fieldsID="bf11fc8815d7b9e9ad9914addb99d327" ns2:_="">
    <xsd:import namespace="5219d8cd-d016-4ba8-bdcf-b1e473862b3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9d8cd-d016-4ba8-bdcf-b1e473862b3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5CEBE3-9B0D-4DC3-8FD8-8797ABAD15C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C01A1D7-A242-46E3-B72C-139A9E2574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7D606-E796-42BA-9E88-5C2D7741B3E6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5219d8cd-d016-4ba8-bdcf-b1e473862b37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450B575-3803-4EAF-9E61-7F218CBE0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9d8cd-d016-4ba8-bdcf-b1e473862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5</vt:i4>
      </vt:variant>
    </vt:vector>
  </HeadingPairs>
  <TitlesOfParts>
    <vt:vector size="11" baseType="lpstr">
      <vt:lpstr>Uitleg</vt:lpstr>
      <vt:lpstr>Invulformulier</vt:lpstr>
      <vt:lpstr>Premies 2021 en 2022</vt:lpstr>
      <vt:lpstr>Formules</vt:lpstr>
      <vt:lpstr>Premies en parameters</vt:lpstr>
      <vt:lpstr>Hulpsheet</vt:lpstr>
      <vt:lpstr>Formules!Afdrukbereik</vt:lpstr>
      <vt:lpstr>Invulformulier!Afdrukbereik</vt:lpstr>
      <vt:lpstr>'Premies 2021 en 2022'!Afdrukbereik</vt:lpstr>
      <vt:lpstr>'Premies en parameters'!Afdrukbereik</vt:lpstr>
      <vt:lpstr>Uitleg!Afdrukbereik</vt:lpstr>
    </vt:vector>
  </TitlesOfParts>
  <Company>Mazars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2021-01-07 Rekentool Whk 2021</dc:title>
  <dc:creator>Stephanie van Kuijk</dc:creator>
  <cp:lastModifiedBy>Jetta van Nes</cp:lastModifiedBy>
  <cp:lastPrinted>2021-01-04T16:15:24Z</cp:lastPrinted>
  <dcterms:created xsi:type="dcterms:W3CDTF">2015-10-23T12:48:12Z</dcterms:created>
  <dcterms:modified xsi:type="dcterms:W3CDTF">2021-12-14T16:32:07Z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0x010100C9F6E28DF976F14582072419C37E100B</vt:lpwstr>
  </property>
  <property fmtid="{D5CDD505-2E9C-101B-9397-08002B2CF9AE}" pid="3" name="_dlc_DocIdItemGuid">
    <vt:lpwstr>98537469-ab02-4378-97eb-83783f01663b</vt:lpwstr>
  </property>
  <property fmtid="{D5CDD505-2E9C-101B-9397-08002B2CF9AE}" pid="4" name="Order">
    <vt:r8>384500</vt:r8>
  </property>
</Properties>
</file>